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60" windowHeight="5385" firstSheet="8" activeTab="13"/>
  </bookViews>
  <sheets>
    <sheet name="CK (1)" sheetId="1" r:id="rId1"/>
    <sheet name="CK (2)" sheetId="2" r:id="rId2"/>
    <sheet name="CK (3)" sheetId="3" r:id="rId3"/>
    <sheet name="CK (4)" sheetId="4" r:id="rId4"/>
    <sheet name="CK (5)" sheetId="5" r:id="rId5"/>
    <sheet name="CK (6)" sheetId="6" r:id="rId6"/>
    <sheet name="CK (7)" sheetId="7" r:id="rId7"/>
    <sheet name="CK (8)" sheetId="8" r:id="rId8"/>
    <sheet name="CK (9)" sheetId="9" r:id="rId9"/>
    <sheet name="CK (10)" sheetId="10" r:id="rId10"/>
    <sheet name="CK (11)" sheetId="11" r:id="rId11"/>
    <sheet name="CK (12)" sheetId="12" r:id="rId12"/>
    <sheet name="KCT XA(1_&gt;6)" sheetId="13" r:id="rId13"/>
    <sheet name="KCT XA(12)" sheetId="14" r:id="rId14"/>
    <sheet name="HDND T1_&gt;5" sheetId="15" r:id="rId15"/>
    <sheet name="HDND T6_&gt;12" sheetId="16" r:id="rId16"/>
    <sheet name="TONG HOP" sheetId="17" r:id="rId17"/>
    <sheet name="Chart1" sheetId="18" r:id="rId18"/>
    <sheet name="Sheet1" sheetId="19" r:id="rId19"/>
  </sheets>
  <externalReferences>
    <externalReference r:id="rId22"/>
  </externalReferences>
  <definedNames>
    <definedName name="_xlnm.Print_Area" localSheetId="0">'CK (1)'!$A$1:$T$42</definedName>
    <definedName name="_xlnm.Print_Area" localSheetId="9">'CK (10)'!$A$1:$T$42</definedName>
    <definedName name="_xlnm.Print_Area" localSheetId="10">'CK (11)'!$A$1:$T$42</definedName>
    <definedName name="_xlnm.Print_Area" localSheetId="11">'CK (12)'!$A$1:$T$42</definedName>
    <definedName name="_xlnm.Print_Area" localSheetId="1">'CK (2)'!$A$1:$T$42</definedName>
    <definedName name="_xlnm.Print_Area" localSheetId="2">'CK (3)'!$A$1:$T$42</definedName>
    <definedName name="_xlnm.Print_Area" localSheetId="3">'CK (4)'!$A$1:$T$42</definedName>
    <definedName name="_xlnm.Print_Area" localSheetId="4">'CK (5)'!$A$1:$T$42</definedName>
    <definedName name="_xlnm.Print_Area" localSheetId="5">'CK (6)'!$A$1:$T$42</definedName>
    <definedName name="_xlnm.Print_Area" localSheetId="6">'CK (7)'!$A$1:$T$42</definedName>
    <definedName name="_xlnm.Print_Area" localSheetId="7">'CK (8)'!$A$1:$T$42</definedName>
    <definedName name="_xlnm.Print_Area" localSheetId="8">'CK (9)'!$A$1:$T$42</definedName>
    <definedName name="_xlnm.Print_Area" localSheetId="14">'HDND T1_&gt;5'!$A$1:$H$23</definedName>
    <definedName name="_xlnm.Print_Area" localSheetId="15">'HDND T6_&gt;12'!$A$1:$H$24</definedName>
    <definedName name="_xlnm.Print_Area" localSheetId="12">'KCT XA(1_&gt;6)'!$A$1:$Q$39</definedName>
    <definedName name="_xlnm.Print_Area" localSheetId="13">'KCT XA(12)'!$A$1:$Q$39</definedName>
    <definedName name="_xlnm.Print_Area" localSheetId="16">'TONG HOP'!$A$1:$H$38</definedName>
  </definedNames>
  <calcPr fullCalcOnLoad="1"/>
</workbook>
</file>

<file path=xl/sharedStrings.xml><?xml version="1.0" encoding="utf-8"?>
<sst xmlns="http://schemas.openxmlformats.org/spreadsheetml/2006/main" count="1394" uniqueCount="243">
  <si>
    <t>805-463</t>
  </si>
  <si>
    <t>809-471</t>
  </si>
  <si>
    <t>819-461</t>
  </si>
  <si>
    <t>811-462</t>
  </si>
  <si>
    <t>812-462</t>
  </si>
  <si>
    <t>813-462</t>
  </si>
  <si>
    <t>814-462</t>
  </si>
  <si>
    <t>Lương chính</t>
  </si>
  <si>
    <t>Số tiền</t>
  </si>
  <si>
    <t>Hệ số</t>
  </si>
  <si>
    <t>Chức vụ</t>
  </si>
  <si>
    <t>Hệ
 số</t>
  </si>
  <si>
    <t>820-462</t>
  </si>
  <si>
    <t>Tổng cộng</t>
  </si>
  <si>
    <t>STT</t>
  </si>
  <si>
    <t>16</t>
  </si>
  <si>
    <t xml:space="preserve"> Ghi chú</t>
  </si>
  <si>
    <t>BHYT 
3%</t>
  </si>
  <si>
    <t>BHYT 1,5%</t>
  </si>
  <si>
    <t>BHXH 
8%</t>
  </si>
  <si>
    <t>BHXH 
18%</t>
  </si>
  <si>
    <t>Số liệu cá nhân phải chuyển BHXH+ BHYT</t>
  </si>
  <si>
    <t xml:space="preserve">Số liệu đơn vị SDLĐ phải chuyển BHXH+ BHYT </t>
  </si>
  <si>
    <t>Chênh lệch bảo lưu</t>
  </si>
  <si>
    <t>Họ và tên</t>
  </si>
  <si>
    <t>810-468</t>
  </si>
  <si>
    <t>Số CT</t>
  </si>
  <si>
    <t>Ngày tháng năm</t>
  </si>
  <si>
    <t>Nội dung</t>
  </si>
  <si>
    <t xml:space="preserve">Số liệu đơn vị trích trên bảng lương BHXH </t>
  </si>
  <si>
    <t>Số liệu đơn vị trích trên bảng lương BHYT</t>
  </si>
  <si>
    <t>Mức lương tối thiểu</t>
  </si>
  <si>
    <t xml:space="preserve">Lũy kế Số liệu đơn vị SDLĐ phải chuyển BHXH+ BHYT </t>
  </si>
  <si>
    <t>Lũy kế  Số liệu cá nhân phải chuyển BHXH+ BHYT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</si>
  <si>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</si>
  <si>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</si>
  <si>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</si>
  <si>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</si>
  <si>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</si>
  <si>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</si>
  <si>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</si>
  <si>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</si>
  <si>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</si>
  <si>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</si>
  <si>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</si>
  <si>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</si>
  <si>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</si>
  <si>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</si>
  <si>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</si>
  <si>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</si>
  <si>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</si>
  <si>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</si>
  <si>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</si>
  <si>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,</t>
  </si>
  <si>
    <t>Số liệu đơn vị SDLĐ phải chuyển BHXH BHYT trong năm</t>
  </si>
  <si>
    <t>Số liệu cá nhân phải chuyển BHXH BHYT trong năm</t>
  </si>
  <si>
    <t>Chênh lệch so với số  đơn vị phải chuyển</t>
  </si>
  <si>
    <t>Tổng cộng số liệu đơn vị SDLĐ và cá nhân phải nộp trong năm</t>
  </si>
  <si>
    <t>7=5+6</t>
  </si>
  <si>
    <t>8=4-7</t>
  </si>
  <si>
    <t>31/01/2016</t>
  </si>
  <si>
    <t>28/02/2016</t>
  </si>
  <si>
    <t>31/3/2016</t>
  </si>
  <si>
    <t>30/4/2016</t>
  </si>
  <si>
    <t>31/5/2016</t>
  </si>
  <si>
    <t>30/6/2016</t>
  </si>
  <si>
    <t>31/7/2016</t>
  </si>
  <si>
    <t>31/8/2016</t>
  </si>
  <si>
    <t>30/9/2016</t>
  </si>
  <si>
    <t>31/10/2016</t>
  </si>
  <si>
    <t>30/11/2016</t>
  </si>
  <si>
    <t>31/12/2016</t>
  </si>
  <si>
    <t>Số tháng đóng</t>
  </si>
  <si>
    <t>Số tháng đơn vị trích BHXH trên bảng lương</t>
  </si>
  <si>
    <t xml:space="preserve">Số liệu đơn vị SDLĐ phải chuyển BHYT 4,5% </t>
  </si>
  <si>
    <t>Thứ Sáu, 18/05/2018 - 15:19</t>
  </si>
  <si>
    <t>Thời điểm áp dụng</t>
  </si>
  <si>
    <t>Mức lương cơ sở (đồng/tháng)</t>
  </si>
  <si>
    <t>Căn cứ pháp lý</t>
  </si>
  <si>
    <t>Từ 01/10/2004 đến hết tháng 9/2005</t>
  </si>
  <si>
    <t>Nghị định 203/2004/NĐ-CP</t>
  </si>
  <si>
    <t>Từ 01/10/2005 đến hết tháng 9/2006</t>
  </si>
  <si>
    <t>Nghị định 118/2005/NĐ-CP</t>
  </si>
  <si>
    <t>Từ 01/10/2006 đến hết tháng 12/2007</t>
  </si>
  <si>
    <t>Nghị định 94/2006/NĐ-CP</t>
  </si>
  <si>
    <t>Từ 01/01/2008 đến hết tháng 4/2008</t>
  </si>
  <si>
    <t>Nghị định 166/2007/NĐ-CP </t>
  </si>
  <si>
    <t>Từ 01/05/2009 đến hết tháng 4/2009</t>
  </si>
  <si>
    <t>Nghị định 33/2009/NĐ-CP</t>
  </si>
  <si>
    <t>Từ 01/05/2010 đến hết tháng 4/2011</t>
  </si>
  <si>
    <t>Nghị định 28/2010/NĐ-CP</t>
  </si>
  <si>
    <t>Từ 01/05/2011 đến hết tháng 4/2012</t>
  </si>
  <si>
    <t>Nghị định 22/2011/NĐ-CP</t>
  </si>
  <si>
    <t>Từ 01/05/2012 đến hết tháng 6/2013</t>
  </si>
  <si>
    <t>Nghị định 31/2012/NĐ-CP</t>
  </si>
  <si>
    <t>Từ 01/07/2013 đến hết tháng 4/2016</t>
  </si>
  <si>
    <t>Nghị định 66/2013/NĐ-CP</t>
  </si>
  <si>
    <t>Từ 01/05/2016 đến hết tháng 6/2017</t>
  </si>
  <si>
    <t>Nghị định 47/2016/NĐ-CP</t>
  </si>
  <si>
    <t>Từ 01/07/2017 đến hết tháng 6/2018</t>
  </si>
  <si>
    <t>Nghị định 47/2017/NĐ-CP</t>
  </si>
  <si>
    <t>Từ 01/07/2018 đến hết tháng 6/2019</t>
  </si>
  <si>
    <t>Nghị định 72/2018/NĐ-CP</t>
  </si>
  <si>
    <t>Từ 01/07/2019 </t>
  </si>
  <si>
    <t>Nghị quyết 70/2018/QH14</t>
  </si>
  <si>
    <t>Xem thêm:</t>
  </si>
  <si>
    <t>BẢNG SỐ LIỆU  BHXH+ BHYT  CỦA ĐƠN VỊ UBND XÃ HUỔI SÓ</t>
  </si>
  <si>
    <t>BẢNG SỐ LIỆU  BHYT (ĐBHDND)  CỦA 
ĐƠN VỊ UBND XÃ HUỔI SÓ</t>
  </si>
  <si>
    <t xml:space="preserve">Phàn A Bụ </t>
  </si>
  <si>
    <t>Lý A Dén</t>
  </si>
  <si>
    <t>Lý A Chỉnh</t>
  </si>
  <si>
    <t>Tẩn A Đạt</t>
  </si>
  <si>
    <t>Điêu chính Khởi</t>
  </si>
  <si>
    <t>Hờ A Vàng</t>
  </si>
  <si>
    <t>Nguyễn Đăng Tuấn</t>
  </si>
  <si>
    <t>Lý A Dôn</t>
  </si>
  <si>
    <t>Sùng A Páo</t>
  </si>
  <si>
    <t>Lò Văn Quế</t>
  </si>
  <si>
    <t>Lò thị Thọn</t>
  </si>
  <si>
    <t>Vàng thị Muổi</t>
  </si>
  <si>
    <t>Lý A Quẩy</t>
  </si>
  <si>
    <t>Vàng A Cầu</t>
  </si>
  <si>
    <t>Quàng Thị Hoa</t>
  </si>
  <si>
    <t>Phàn A Quỷ</t>
  </si>
  <si>
    <t>Phàn A Chím</t>
  </si>
  <si>
    <t>Phàn A Sài</t>
  </si>
  <si>
    <t>Phàn A Sơn</t>
  </si>
  <si>
    <t>Lý Quang Chải</t>
  </si>
  <si>
    <t>Giàng A Vàng</t>
  </si>
  <si>
    <t>Lý A Gạo</t>
  </si>
  <si>
    <t>Vàng A Cỏng</t>
  </si>
  <si>
    <t>Lý A Chắm</t>
  </si>
  <si>
    <t>Giàng A Sang</t>
  </si>
  <si>
    <t>Phàn A Nhủy</t>
  </si>
  <si>
    <t>Tẩn A Nàn</t>
  </si>
  <si>
    <t>Phàn A Chả</t>
  </si>
  <si>
    <t>Lý A Chanh</t>
  </si>
  <si>
    <t>Hờ A Páo</t>
  </si>
  <si>
    <t>Tẩn A Gạo</t>
  </si>
  <si>
    <t>Vàng A Khày</t>
  </si>
  <si>
    <t>Phàn A Diển</t>
  </si>
  <si>
    <t>Phàn A Khạo</t>
  </si>
  <si>
    <t>Vù A So</t>
  </si>
  <si>
    <t>Phàn A Dần</t>
  </si>
  <si>
    <t>Tẩn A Dén</t>
  </si>
  <si>
    <t>Lý Thanh Dôn</t>
  </si>
  <si>
    <t>Tháng  1  năm 2018</t>
  </si>
  <si>
    <t>Thào A Chứ</t>
  </si>
  <si>
    <t>Phàn A Gòng</t>
  </si>
  <si>
    <t>Lày A Nhím</t>
  </si>
  <si>
    <t>Lý A Lảnh</t>
  </si>
  <si>
    <t>Phàn A Póng</t>
  </si>
  <si>
    <t>Lý A Cỏng</t>
  </si>
  <si>
    <t>Lý A Nội</t>
  </si>
  <si>
    <t>Tẩn A Cỏn</t>
  </si>
  <si>
    <t>Lý A Đạt</t>
  </si>
  <si>
    <t>Vừ A Phia</t>
  </si>
  <si>
    <t>Giàng A Kỷ</t>
  </si>
  <si>
    <t>27/2/2018</t>
  </si>
  <si>
    <t xml:space="preserve"> Chuyển 9,5% BHXH tháng 1+2 năm 2018</t>
  </si>
  <si>
    <t>27/2/218</t>
  </si>
  <si>
    <t>Chuyển BHXH tháng 1+2 năm 2018</t>
  </si>
  <si>
    <t>23/3/2018</t>
  </si>
  <si>
    <t xml:space="preserve"> Chuyển 9,5% BHXH tháng 3 năm 2018</t>
  </si>
  <si>
    <t>17/4/2018</t>
  </si>
  <si>
    <t xml:space="preserve"> Chuyển 9,5% BHXH tháng 4  năm 2018</t>
  </si>
  <si>
    <t>17/04/2018</t>
  </si>
  <si>
    <t>Chuyển BHXH tháng 4 năm 2018</t>
  </si>
  <si>
    <t xml:space="preserve"> Chuyển 9,5% BHXH tháng 5  năm 2018</t>
  </si>
  <si>
    <t>20/6/2018</t>
  </si>
  <si>
    <t xml:space="preserve"> Chuyển 9,5% BHXH tháng 6  năm 2018</t>
  </si>
  <si>
    <t>27/7/2018</t>
  </si>
  <si>
    <t xml:space="preserve"> Chuyển 9,5% BHXH tháng 7  năm 2018</t>
  </si>
  <si>
    <t>14/8/2018</t>
  </si>
  <si>
    <t>Chuyển tiền BHXH 9,5% tháng 8 năm 2018</t>
  </si>
  <si>
    <t>29/8/2018</t>
  </si>
  <si>
    <t>Chuyển BHXH tháng 8 năm 2018</t>
  </si>
  <si>
    <t>14/9/2018</t>
  </si>
  <si>
    <t xml:space="preserve"> Chuyển 9,5% BHXH tháng 9 năm 2018</t>
  </si>
  <si>
    <t>20/9/2018</t>
  </si>
  <si>
    <t>17/10/2018</t>
  </si>
  <si>
    <t xml:space="preserve"> Chuyển 9,5% BHXH tháng 10 năm 2018</t>
  </si>
  <si>
    <t xml:space="preserve"> Chuyển  BHXH tháng 9 năm 2018</t>
  </si>
  <si>
    <t>13/11/2018</t>
  </si>
  <si>
    <t xml:space="preserve"> Chuyển 9,5% BHXH tháng 11 năm 2018</t>
  </si>
  <si>
    <t>30/12/2018</t>
  </si>
  <si>
    <t xml:space="preserve"> Chuyển  BHXH tháng 12 năm 2018</t>
  </si>
  <si>
    <t>Tháng  6  năm 2018</t>
  </si>
  <si>
    <t>Tháng  7  năm 2018</t>
  </si>
  <si>
    <t>Từ tháng 1 đến tháng  6  năm 2018</t>
  </si>
  <si>
    <t>Từ tháng 7 đến tháng  12  năm 2018</t>
  </si>
  <si>
    <t>Số liệu BHXH BHYT: CBCC phải nộp trong tháng 1/2018</t>
  </si>
  <si>
    <t>Số liệu BHXH BHYT: CBCC phải nộp trong tháng 2/2018</t>
  </si>
  <si>
    <t>Số liệu BHXH BHYT:  CBCC phải nộp trong tháng 3/2018</t>
  </si>
  <si>
    <t>Số liệu BHXH BHYT:  CBCC phải nộp trong tháng 4/2018</t>
  </si>
  <si>
    <t>Số liệu BHXH BHYT: CBCC phải nộp trong tháng 5/2018</t>
  </si>
  <si>
    <t>Số liệu BHXH BHYT: CBCC phải nộp trong tháng 6/2018</t>
  </si>
  <si>
    <t>Số liệu BHXH BHYT:  CBCC phải nộp trong tháng 7/2018</t>
  </si>
  <si>
    <t>Số liệu  BHYT:  ĐBHĐND phải nộp từ tháng 1 đến  tháng 5/2018</t>
  </si>
  <si>
    <t>Số liệu BHXH BHYT: CBCC phải nộp trong tháng 8/2018</t>
  </si>
  <si>
    <t>Số liệu BHXH BHYT: CBCC phải nộp trong tháng 9/2018</t>
  </si>
  <si>
    <t>Số liệu BHXH BHYT: CBCC phải nộp trong tháng 10/2018</t>
  </si>
  <si>
    <t>Số liệu BHXH BHYT: CBCC phải nộp trong tháng 11/2018</t>
  </si>
  <si>
    <t>Số liệu BHYT :  ĐBHĐND phải nộp từ tháng 6 đến  tháng 12/2018</t>
  </si>
  <si>
    <t>Số liệu BHXH BHYT: CBCC  phải nộp trong tháng 12/2018</t>
  </si>
  <si>
    <t xml:space="preserve"> </t>
  </si>
  <si>
    <t>Tháng  2  năm 2018</t>
  </si>
  <si>
    <t>Tháng  3  năm 2018</t>
  </si>
  <si>
    <t>Tháng  4  năm 2018</t>
  </si>
  <si>
    <t>Tháng  5  năm 2018</t>
  </si>
  <si>
    <t>Tháng  8  năm 2018</t>
  </si>
  <si>
    <t>Tháng  9  năm 2018</t>
  </si>
  <si>
    <t>Tháng  10  năm 2018</t>
  </si>
  <si>
    <t>Tháng  11  năm 2018</t>
  </si>
  <si>
    <t>Tháng  12  năm 2018</t>
  </si>
  <si>
    <t>BHXH 
14%</t>
  </si>
  <si>
    <t>Số tiền Đơn vị chuyển BHXH BHYT trong năm 2018</t>
  </si>
  <si>
    <t>Số liệu BHXH BHYT :  CBKCT phải nộp từ tháng 1 đến  tháng 6/2018</t>
  </si>
  <si>
    <t>Số liệu BHXH BHYT:  CBKCT phải nộp từ tháng 7 đến  tháng 12/2018</t>
  </si>
  <si>
    <t>Lý A Guẩy</t>
  </si>
  <si>
    <t>Phàn A Nhuỷ</t>
  </si>
  <si>
    <t>Lý Thị Pen</t>
  </si>
  <si>
    <t>BHXH 
17,5%</t>
  </si>
  <si>
    <t>Trích thiếu trên bảng lương phải thu người lao động</t>
  </si>
  <si>
    <t>Trích thừa trên bảng lương phải hoàn trả người lao động</t>
  </si>
  <si>
    <t>Phải thu người lao động tiền BHXH</t>
  </si>
  <si>
    <t>Số liệu đơn vị trích trên bảng lương BHXH</t>
  </si>
  <si>
    <t xml:space="preserve"> Không phải đóng BHYT vì đại biểu này vừa  là CBKCT, vừa là người dân tộc thiểu số</t>
  </si>
  <si>
    <t>Lý Thị Ngậu</t>
  </si>
  <si>
    <t>Vàng Thị Nện</t>
  </si>
  <si>
    <t>Lý Thị Vang</t>
  </si>
  <si>
    <t>Vàng Thị Dòng</t>
  </si>
  <si>
    <t>Ko trích trên bảng lương phải thu người lao động</t>
  </si>
  <si>
    <t>Đơn vị: Đồng</t>
  </si>
  <si>
    <t>BẢNG SỐ LIỆU  BHXH+ BHYT (KHÔNG CHUYÊN TRÁCH XÃ)  CỦA ĐƠN VỊ UBND XÃ HUỔI SÓ (Từ tháng 1 đến tháng  6  năm 2018)</t>
  </si>
  <si>
    <t>BẢNG SỐ LIỆU  BHXH+ BHYT (KHÔNG CHUYÊN TRÁCH XÃ)  CỦA ĐƠN VỊ UBND XÃ HUỔI SÓ (Từ tháng 7 đến tháng  12  năm 2018)</t>
  </si>
  <si>
    <t xml:space="preserve">Số liệu đơn vị trích trên bảng lương BHYT </t>
  </si>
  <si>
    <t>Lý A Liêm</t>
  </si>
  <si>
    <t xml:space="preserve">  Biểu số 03</t>
  </si>
  <si>
    <t>Biểu số 03</t>
  </si>
  <si>
    <t xml:space="preserve">(Kèm theo Báo cáo số 01/BC-TKT ngày 10/9/2019 của Tổ kiểm tra theo Quyết định 1081/QĐ-CT )               </t>
  </si>
  <si>
    <t>(Kèm theo Báo cáo số 01/BC-TKT ngày 10/9/2019 của Tổ kiểm tra theo Quyết định 1081/QĐ-CT)</t>
  </si>
  <si>
    <t>BẢNG SỐ LIỆU QUYẾT TOÁN BHXH, BHYT CỦA ĐƠN VỊ UBND XÃ HUỔI SÓ TRONG NĂM 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</si>
</sst>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&quot;Z$&quot;#,##0_);[Red]\(&quot;Z$&quot;#,##0\)"/>
    <numFmt numFmtId="166" formatCode="&quot;Z$&quot;#,##0.00_);\(&quot;Z$&quot;#,##0.00\)"/>
    <numFmt numFmtId="167" formatCode="&quot;Z$&quot;#,##0.00_);[Red]\(&quot;Z$&quot;#,##0.00\)"/>
    <numFmt numFmtId="168" formatCode="_(&quot;Z$&quot;* #,##0_);_(&quot;Z$&quot;* \(#,##0\);_(&quot;Z$&quot;* &quot;-&quot;_);_(@_)"/>
    <numFmt numFmtId="169" formatCode="_(&quot;Z$&quot;* #,##0.00_);_(&quot;Z$&quot;* \(#,##0.00\);_(&quot;Z$&quot;* &quot;-&quot;??_);_(@_)"/>
    <numFmt numFmtId="170" formatCode="_-* #,##0.00\ _€_-;\-* #,##0.00\ _€_-;_-* &quot;-&quot;??\ _€_-;_-@_-"/>
    <numFmt numFmtId="171" formatCode="_-* #,##0\ _€_-;\-* #,##0\ _€_-;_-* &quot;-&quot;??\ _€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6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Accounting"/>
      <sz val="11"/>
      <name val="Times New Roman"/>
      <family val="1"/>
    </font>
    <font>
      <u val="single"/>
      <sz val="12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Times New Roman"/>
      <family val="1"/>
    </font>
    <font>
      <sz val="12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2"/>
      <color indexed="63"/>
      <name val="Arial"/>
      <family val="2"/>
    </font>
    <font>
      <i/>
      <sz val="12"/>
      <color indexed="63"/>
      <name val="Arial"/>
      <family val="2"/>
    </font>
    <font>
      <u val="single"/>
      <sz val="12"/>
      <color indexed="52"/>
      <name val="Arial"/>
      <family val="2"/>
    </font>
    <font>
      <b/>
      <i/>
      <sz val="12"/>
      <color indexed="63"/>
      <name val="Arial"/>
      <family val="2"/>
    </font>
    <font>
      <sz val="11"/>
      <color indexed="8"/>
      <name val="Times New Roman"/>
      <family val="1"/>
    </font>
    <font>
      <b/>
      <sz val="11"/>
      <color indexed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Arial"/>
      <family val="2"/>
    </font>
    <font>
      <sz val="12"/>
      <color rgb="FF222222"/>
      <name val="Arial"/>
      <family val="2"/>
    </font>
    <font>
      <i/>
      <sz val="12"/>
      <color rgb="FF222222"/>
      <name val="Arial"/>
      <family val="2"/>
    </font>
    <font>
      <u val="single"/>
      <sz val="12"/>
      <color rgb="FFA67942"/>
      <name val="Arial"/>
      <family val="2"/>
    </font>
    <font>
      <b/>
      <i/>
      <sz val="12"/>
      <color rgb="FF222222"/>
      <name val="Arial"/>
      <family val="2"/>
    </font>
    <font>
      <sz val="11"/>
      <color theme="1"/>
      <name val="Times New Roman"/>
      <family val="1"/>
    </font>
    <font>
      <b/>
      <sz val="11"/>
      <color rgb="FF92D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3" fontId="8" fillId="0" borderId="10" xfId="0" applyNumberFormat="1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horizontal="right" vertical="center"/>
    </xf>
    <xf numFmtId="171" fontId="11" fillId="0" borderId="10" xfId="42" applyNumberFormat="1" applyFont="1" applyFill="1" applyBorder="1" applyAlignment="1">
      <alignment horizontal="right" vertical="center"/>
    </xf>
    <xf numFmtId="43" fontId="10" fillId="0" borderId="10" xfId="42" applyNumberFormat="1" applyFont="1" applyFill="1" applyBorder="1" applyAlignment="1">
      <alignment horizontal="right" vertical="center"/>
    </xf>
    <xf numFmtId="170" fontId="11" fillId="0" borderId="10" xfId="42" applyNumberFormat="1" applyFont="1" applyFill="1" applyBorder="1" applyAlignment="1">
      <alignment horizontal="right" vertical="center"/>
    </xf>
    <xf numFmtId="173" fontId="10" fillId="0" borderId="10" xfId="42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43" fontId="1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3" fontId="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43" fontId="9" fillId="0" borderId="10" xfId="42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43" fontId="8" fillId="0" borderId="10" xfId="42" applyFont="1" applyFill="1" applyBorder="1" applyAlignment="1">
      <alignment horizontal="left" vertical="center"/>
    </xf>
    <xf numFmtId="43" fontId="8" fillId="0" borderId="10" xfId="42" applyNumberFormat="1" applyFont="1" applyFill="1" applyBorder="1" applyAlignment="1">
      <alignment horizontal="left" vertical="center"/>
    </xf>
    <xf numFmtId="43" fontId="9" fillId="0" borderId="10" xfId="42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/>
    </xf>
    <xf numFmtId="43" fontId="10" fillId="0" borderId="10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43" fontId="9" fillId="0" borderId="0" xfId="42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11" fillId="0" borderId="0" xfId="0" applyNumberFormat="1" applyFont="1" applyFill="1" applyAlignment="1">
      <alignment horizontal="center" vertical="center"/>
    </xf>
    <xf numFmtId="43" fontId="5" fillId="0" borderId="0" xfId="0" applyNumberFormat="1" applyFont="1" applyFill="1" applyAlignment="1">
      <alignment vertical="center"/>
    </xf>
    <xf numFmtId="43" fontId="2" fillId="0" borderId="10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173" fontId="11" fillId="0" borderId="10" xfId="42" applyNumberFormat="1" applyFont="1" applyFill="1" applyBorder="1" applyAlignment="1">
      <alignment horizontal="left" vertical="center"/>
    </xf>
    <xf numFmtId="173" fontId="11" fillId="0" borderId="10" xfId="42" applyNumberFormat="1" applyFont="1" applyFill="1" applyBorder="1" applyAlignment="1">
      <alignment horizontal="right" vertical="center"/>
    </xf>
    <xf numFmtId="173" fontId="10" fillId="0" borderId="10" xfId="0" applyNumberFormat="1" applyFont="1" applyFill="1" applyBorder="1" applyAlignment="1">
      <alignment vertical="center"/>
    </xf>
    <xf numFmtId="43" fontId="1" fillId="0" borderId="0" xfId="0" applyNumberFormat="1" applyFont="1" applyFill="1" applyAlignment="1">
      <alignment vertical="center"/>
    </xf>
    <xf numFmtId="172" fontId="11" fillId="0" borderId="0" xfId="42" applyNumberFormat="1" applyFont="1" applyFill="1" applyBorder="1" applyAlignment="1">
      <alignment horizontal="left" vertical="center"/>
    </xf>
    <xf numFmtId="43" fontId="12" fillId="0" borderId="0" xfId="42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7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14" fillId="0" borderId="13" xfId="0" applyFont="1" applyFill="1" applyBorder="1" applyAlignment="1" quotePrefix="1">
      <alignment horizontal="center" vertical="center"/>
    </xf>
    <xf numFmtId="0" fontId="14" fillId="0" borderId="10" xfId="0" applyFont="1" applyFill="1" applyBorder="1" applyAlignment="1" quotePrefix="1">
      <alignment horizontal="center" vertical="center"/>
    </xf>
    <xf numFmtId="0" fontId="0" fillId="10" borderId="0" xfId="0" applyFont="1" applyFill="1" applyAlignment="1">
      <alignment vertical="center"/>
    </xf>
    <xf numFmtId="0" fontId="8" fillId="10" borderId="11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3" fontId="0" fillId="0" borderId="10" xfId="0" applyNumberForma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0" fillId="0" borderId="0" xfId="0" applyFont="1" applyAlignment="1">
      <alignment vertical="center" wrapText="1"/>
    </xf>
    <xf numFmtId="43" fontId="10" fillId="0" borderId="10" xfId="0" applyNumberFormat="1" applyFont="1" applyFill="1" applyBorder="1" applyAlignment="1">
      <alignment horizontal="center" vertical="center"/>
    </xf>
    <xf numFmtId="173" fontId="2" fillId="10" borderId="0" xfId="0" applyNumberFormat="1" applyFont="1" applyFill="1" applyAlignment="1">
      <alignment horizontal="center" vertical="center"/>
    </xf>
    <xf numFmtId="173" fontId="2" fillId="32" borderId="0" xfId="0" applyNumberFormat="1" applyFont="1" applyFill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0" fontId="0" fillId="0" borderId="10" xfId="0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73" fontId="11" fillId="0" borderId="10" xfId="42" applyNumberFormat="1" applyFont="1" applyFill="1" applyBorder="1" applyAlignment="1">
      <alignment horizontal="center" vertical="center"/>
    </xf>
    <xf numFmtId="43" fontId="17" fillId="33" borderId="10" xfId="42" applyFont="1" applyFill="1" applyBorder="1" applyAlignment="1">
      <alignment horizontal="left" vertical="center"/>
    </xf>
    <xf numFmtId="17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11" fillId="0" borderId="10" xfId="42" applyNumberFormat="1" applyFont="1" applyFill="1" applyBorder="1" applyAlignment="1">
      <alignment vertical="center"/>
    </xf>
    <xf numFmtId="0" fontId="61" fillId="0" borderId="0" xfId="0" applyFont="1" applyAlignment="1">
      <alignment wrapText="1"/>
    </xf>
    <xf numFmtId="0" fontId="0" fillId="0" borderId="0" xfId="0" applyAlignment="1">
      <alignment horizontal="justify" wrapText="1"/>
    </xf>
    <xf numFmtId="0" fontId="62" fillId="0" borderId="0" xfId="0" applyFont="1" applyAlignment="1">
      <alignment horizontal="center" wrapText="1"/>
    </xf>
    <xf numFmtId="0" fontId="63" fillId="0" borderId="14" xfId="0" applyFont="1" applyBorder="1" applyAlignment="1">
      <alignment wrapText="1"/>
    </xf>
    <xf numFmtId="0" fontId="62" fillId="0" borderId="14" xfId="0" applyFont="1" applyBorder="1" applyAlignment="1">
      <alignment wrapText="1"/>
    </xf>
    <xf numFmtId="3" fontId="62" fillId="0" borderId="14" xfId="0" applyNumberFormat="1" applyFont="1" applyBorder="1" applyAlignment="1">
      <alignment horizontal="center" wrapText="1"/>
    </xf>
    <xf numFmtId="0" fontId="64" fillId="0" borderId="14" xfId="0" applyFont="1" applyBorder="1" applyAlignment="1">
      <alignment wrapText="1"/>
    </xf>
    <xf numFmtId="0" fontId="3" fillId="0" borderId="14" xfId="53" applyBorder="1" applyAlignment="1" applyProtection="1">
      <alignment wrapText="1"/>
      <protection/>
    </xf>
    <xf numFmtId="0" fontId="3" fillId="0" borderId="14" xfId="53" applyBorder="1" applyAlignment="1" applyProtection="1">
      <alignment horizontal="justify" wrapText="1"/>
      <protection/>
    </xf>
    <xf numFmtId="0" fontId="0" fillId="0" borderId="15" xfId="0" applyBorder="1" applyAlignment="1">
      <alignment wrapText="1"/>
    </xf>
    <xf numFmtId="0" fontId="3" fillId="0" borderId="16" xfId="53" applyBorder="1" applyAlignment="1" applyProtection="1">
      <alignment wrapText="1"/>
      <protection/>
    </xf>
    <xf numFmtId="0" fontId="18" fillId="0" borderId="17" xfId="0" applyFont="1" applyBorder="1" applyAlignment="1">
      <alignment wrapText="1"/>
    </xf>
    <xf numFmtId="0" fontId="65" fillId="0" borderId="0" xfId="0" applyFont="1" applyAlignment="1">
      <alignment horizontal="justify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 horizontal="right" vertical="center" wrapText="1"/>
    </xf>
    <xf numFmtId="0" fontId="1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14" fontId="0" fillId="0" borderId="10" xfId="0" applyNumberFormat="1" applyFont="1" applyFill="1" applyBorder="1" applyAlignment="1" quotePrefix="1">
      <alignment horizontal="right" vertical="center" wrapText="1"/>
    </xf>
    <xf numFmtId="0" fontId="0" fillId="34" borderId="10" xfId="0" applyFont="1" applyFill="1" applyBorder="1" applyAlignment="1" quotePrefix="1">
      <alignment horizontal="center" vertical="center"/>
    </xf>
    <xf numFmtId="0" fontId="0" fillId="34" borderId="10" xfId="0" applyFont="1" applyFill="1" applyBorder="1" applyAlignment="1">
      <alignment vertical="center"/>
    </xf>
    <xf numFmtId="43" fontId="9" fillId="34" borderId="10" xfId="42" applyFont="1" applyFill="1" applyBorder="1" applyAlignment="1">
      <alignment horizontal="left" vertical="center"/>
    </xf>
    <xf numFmtId="173" fontId="11" fillId="34" borderId="10" xfId="42" applyNumberFormat="1" applyFont="1" applyFill="1" applyBorder="1" applyAlignment="1">
      <alignment horizontal="left" vertical="center"/>
    </xf>
    <xf numFmtId="173" fontId="11" fillId="34" borderId="10" xfId="42" applyNumberFormat="1" applyFont="1" applyFill="1" applyBorder="1" applyAlignment="1">
      <alignment horizontal="right" vertical="center"/>
    </xf>
    <xf numFmtId="0" fontId="0" fillId="34" borderId="0" xfId="0" applyFont="1" applyFill="1" applyAlignment="1">
      <alignment vertical="center"/>
    </xf>
    <xf numFmtId="170" fontId="11" fillId="34" borderId="10" xfId="42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center" vertical="center"/>
    </xf>
    <xf numFmtId="173" fontId="10" fillId="34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/>
    </xf>
    <xf numFmtId="0" fontId="0" fillId="35" borderId="10" xfId="0" applyFont="1" applyFill="1" applyBorder="1" applyAlignment="1" quotePrefix="1">
      <alignment horizontal="center" vertical="center"/>
    </xf>
    <xf numFmtId="0" fontId="0" fillId="35" borderId="10" xfId="0" applyFont="1" applyFill="1" applyBorder="1" applyAlignment="1">
      <alignment vertical="center"/>
    </xf>
    <xf numFmtId="43" fontId="9" fillId="35" borderId="10" xfId="42" applyFont="1" applyFill="1" applyBorder="1" applyAlignment="1">
      <alignment horizontal="left" vertical="center"/>
    </xf>
    <xf numFmtId="173" fontId="11" fillId="35" borderId="10" xfId="42" applyNumberFormat="1" applyFont="1" applyFill="1" applyBorder="1" applyAlignment="1">
      <alignment horizontal="left" vertical="center"/>
    </xf>
    <xf numFmtId="173" fontId="11" fillId="35" borderId="10" xfId="42" applyNumberFormat="1" applyFont="1" applyFill="1" applyBorder="1" applyAlignment="1">
      <alignment horizontal="right" vertical="center"/>
    </xf>
    <xf numFmtId="173" fontId="11" fillId="35" borderId="10" xfId="42" applyNumberFormat="1" applyFont="1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170" fontId="11" fillId="35" borderId="10" xfId="42" applyNumberFormat="1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 wrapText="1"/>
    </xf>
    <xf numFmtId="173" fontId="11" fillId="35" borderId="10" xfId="42" applyNumberFormat="1" applyFont="1" applyFill="1" applyBorder="1" applyAlignment="1">
      <alignment horizontal="center" vertical="center"/>
    </xf>
    <xf numFmtId="43" fontId="66" fillId="33" borderId="10" xfId="42" applyFont="1" applyFill="1" applyBorder="1" applyAlignment="1">
      <alignment horizontal="left" vertical="center"/>
    </xf>
    <xf numFmtId="172" fontId="2" fillId="0" borderId="10" xfId="0" applyNumberFormat="1" applyFont="1" applyFill="1" applyBorder="1" applyAlignment="1">
      <alignment horizontal="center" vertical="center"/>
    </xf>
    <xf numFmtId="172" fontId="66" fillId="35" borderId="10" xfId="42" applyNumberFormat="1" applyFont="1" applyFill="1" applyBorder="1" applyAlignment="1">
      <alignment horizontal="left" vertical="center"/>
    </xf>
    <xf numFmtId="172" fontId="9" fillId="0" borderId="10" xfId="42" applyNumberFormat="1" applyFont="1" applyFill="1" applyBorder="1" applyAlignment="1">
      <alignment horizontal="left" vertical="center"/>
    </xf>
    <xf numFmtId="172" fontId="8" fillId="0" borderId="10" xfId="0" applyNumberFormat="1" applyFont="1" applyFill="1" applyBorder="1" applyAlignment="1">
      <alignment vertical="center"/>
    </xf>
    <xf numFmtId="0" fontId="0" fillId="35" borderId="10" xfId="0" applyFont="1" applyFill="1" applyBorder="1" applyAlignment="1">
      <alignment horizontal="left" vertical="center"/>
    </xf>
    <xf numFmtId="0" fontId="8" fillId="35" borderId="11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 quotePrefix="1">
      <alignment horizontal="center" vertical="center"/>
    </xf>
    <xf numFmtId="0" fontId="14" fillId="35" borderId="10" xfId="0" applyFont="1" applyFill="1" applyBorder="1" applyAlignment="1" quotePrefix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43" fontId="2" fillId="35" borderId="10" xfId="0" applyNumberFormat="1" applyFont="1" applyFill="1" applyBorder="1" applyAlignment="1">
      <alignment horizontal="center" vertical="center"/>
    </xf>
    <xf numFmtId="173" fontId="10" fillId="35" borderId="10" xfId="0" applyNumberFormat="1" applyFont="1" applyFill="1" applyBorder="1" applyAlignment="1">
      <alignment horizontal="center" vertical="center"/>
    </xf>
    <xf numFmtId="173" fontId="10" fillId="35" borderId="10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horizontal="left" vertical="center"/>
    </xf>
    <xf numFmtId="43" fontId="8" fillId="35" borderId="10" xfId="0" applyNumberFormat="1" applyFont="1" applyFill="1" applyBorder="1" applyAlignment="1">
      <alignment horizontal="center" vertical="center"/>
    </xf>
    <xf numFmtId="173" fontId="8" fillId="35" borderId="10" xfId="0" applyNumberFormat="1" applyFont="1" applyFill="1" applyBorder="1" applyAlignment="1">
      <alignment horizontal="center" vertical="center"/>
    </xf>
    <xf numFmtId="173" fontId="10" fillId="35" borderId="10" xfId="0" applyNumberFormat="1" applyFont="1" applyFill="1" applyBorder="1" applyAlignment="1">
      <alignment vertical="center"/>
    </xf>
    <xf numFmtId="173" fontId="67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43" fontId="8" fillId="35" borderId="10" xfId="42" applyFont="1" applyFill="1" applyBorder="1" applyAlignment="1">
      <alignment horizontal="left" vertical="center"/>
    </xf>
    <xf numFmtId="173" fontId="10" fillId="35" borderId="10" xfId="42" applyNumberFormat="1" applyFont="1" applyFill="1" applyBorder="1" applyAlignment="1">
      <alignment horizontal="right" vertical="center"/>
    </xf>
    <xf numFmtId="43" fontId="8" fillId="35" borderId="10" xfId="42" applyNumberFormat="1" applyFont="1" applyFill="1" applyBorder="1" applyAlignment="1">
      <alignment horizontal="left" vertical="center"/>
    </xf>
    <xf numFmtId="173" fontId="8" fillId="35" borderId="10" xfId="42" applyNumberFormat="1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right" vertical="center"/>
    </xf>
    <xf numFmtId="3" fontId="8" fillId="35" borderId="10" xfId="0" applyNumberFormat="1" applyFont="1" applyFill="1" applyBorder="1" applyAlignment="1">
      <alignment vertical="center"/>
    </xf>
    <xf numFmtId="43" fontId="8" fillId="35" borderId="10" xfId="0" applyNumberFormat="1" applyFont="1" applyFill="1" applyBorder="1" applyAlignment="1">
      <alignment vertical="center"/>
    </xf>
    <xf numFmtId="173" fontId="8" fillId="35" borderId="10" xfId="0" applyNumberFormat="1" applyFont="1" applyFill="1" applyBorder="1" applyAlignment="1">
      <alignment vertical="center"/>
    </xf>
    <xf numFmtId="173" fontId="0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/>
    </xf>
    <xf numFmtId="3" fontId="0" fillId="35" borderId="10" xfId="0" applyNumberFormat="1" applyFill="1" applyBorder="1" applyAlignment="1">
      <alignment vertical="center" wrapText="1"/>
    </xf>
    <xf numFmtId="3" fontId="0" fillId="35" borderId="10" xfId="0" applyNumberFormat="1" applyFont="1" applyFill="1" applyBorder="1" applyAlignment="1">
      <alignment vertical="center" wrapText="1"/>
    </xf>
    <xf numFmtId="3" fontId="2" fillId="35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3" fontId="18" fillId="0" borderId="15" xfId="0" applyNumberFormat="1" applyFont="1" applyBorder="1" applyAlignment="1">
      <alignment horizontal="center" wrapText="1"/>
    </xf>
    <xf numFmtId="3" fontId="18" fillId="0" borderId="16" xfId="0" applyNumberFormat="1" applyFont="1" applyBorder="1" applyAlignment="1">
      <alignment horizontal="center" wrapText="1"/>
    </xf>
    <xf numFmtId="3" fontId="18" fillId="0" borderId="17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chartsheet" Target="chartsheets/sheet1.xml" /><Relationship Id="rId19" Type="http://schemas.openxmlformats.org/officeDocument/2006/relationships/worksheet" Target="worksheets/sheet18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275"/>
          <c:w val="0.88825"/>
          <c:h val="0.93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Sheet1!$A$3:$C$17</c:f>
              <c:multiLvlStrCache>
                <c:ptCount val="3"/>
                <c:lvl>
                  <c:pt idx="0">
                    <c:v>Từ 01/07/2019 </c:v>
                  </c:pt>
                  <c:pt idx="1">
                    <c:v>1.490.000</c:v>
                  </c:pt>
                  <c:pt idx="2">
                    <c:v>Nghị quyết 70/2018/QH14</c:v>
                  </c:pt>
                </c:lvl>
                <c:lvl>
                  <c:pt idx="0">
                    <c:v>Từ 01/07/2018 đến hết tháng 6/2019</c:v>
                  </c:pt>
                  <c:pt idx="1">
                    <c:v>1.390.000</c:v>
                  </c:pt>
                  <c:pt idx="2">
                    <c:v>Nghị định 72/2018/NĐ-CP</c:v>
                  </c:pt>
                </c:lvl>
                <c:lvl>
                  <c:pt idx="0">
                    <c:v>Từ 01/07/2017 đến hết tháng 6/2018</c:v>
                  </c:pt>
                  <c:pt idx="1">
                    <c:v>1.300.000</c:v>
                  </c:pt>
                  <c:pt idx="2">
                    <c:v>Nghị định 47/2017/NĐ-CP</c:v>
                  </c:pt>
                </c:lvl>
                <c:lvl>
                  <c:pt idx="0">
                    <c:v>Từ 01/05/2016 đến hết tháng 6/2017</c:v>
                  </c:pt>
                  <c:pt idx="1">
                    <c:v> </c:v>
                  </c:pt>
                  <c:pt idx="2">
                    <c:v>Nghị định 47/2016/NĐ-CP</c:v>
                  </c:pt>
                </c:lvl>
                <c:lvl>
                  <c:pt idx="0">
                    <c:v>Từ 01/07/2013 đến hết tháng 4/2016</c:v>
                  </c:pt>
                  <c:pt idx="1">
                    <c:v>1.150.000</c:v>
                  </c:pt>
                  <c:pt idx="2">
                    <c:v>Nghị định 66/2013/NĐ-CP</c:v>
                  </c:pt>
                </c:lvl>
                <c:lvl>
                  <c:pt idx="0">
                    <c:v>Từ 01/05/2012 đến hết tháng 6/2013</c:v>
                  </c:pt>
                  <c:pt idx="1">
                    <c:v>1.050.000</c:v>
                  </c:pt>
                  <c:pt idx="2">
                    <c:v>Nghị định 31/2012/NĐ-CP</c:v>
                  </c:pt>
                </c:lvl>
                <c:lvl>
                  <c:pt idx="0">
                    <c:v>Từ 01/05/2011 đến hết tháng 4/2012</c:v>
                  </c:pt>
                  <c:pt idx="1">
                    <c:v>830.000</c:v>
                  </c:pt>
                  <c:pt idx="2">
                    <c:v>Nghị định 22/2011/NĐ-CP</c:v>
                  </c:pt>
                </c:lvl>
                <c:lvl>
                  <c:pt idx="1">
                    <c:v>730.000</c:v>
                  </c:pt>
                  <c:pt idx="2">
                    <c:v>Nghị định 28/2010/NĐ-CP</c:v>
                  </c:pt>
                </c:lvl>
                <c:lvl>
                  <c:pt idx="1">
                    <c:v>650.000</c:v>
                  </c:pt>
                  <c:pt idx="2">
                    <c:v>Nghị định 33/2009/NĐ-CP</c:v>
                  </c:pt>
                </c:lvl>
                <c:lvl>
                  <c:pt idx="1">
                    <c:v>540.000</c:v>
                  </c:pt>
                </c:lvl>
                <c:lvl>
                  <c:pt idx="1">
                    <c:v>450.000</c:v>
                  </c:pt>
                </c:lvl>
                <c:lvl>
                  <c:pt idx="1">
                    <c:v>350.000</c:v>
                  </c:pt>
                </c:lvl>
                <c:lvl>
                  <c:pt idx="1">
                    <c:v>290.000</c:v>
                  </c:pt>
                </c:lvl>
                <c:lvl>
                  <c:pt idx="1">
                    <c:v>Mức lương cơ sở (đồng/tháng)</c:v>
                  </c:pt>
                </c:lvl>
              </c:multiLvlStrCache>
            </c:multiLvlStrRef>
          </c:cat>
          <c:val>
            <c:numRef>
              <c:f>Sheet1!$A$18:$C$18</c:f>
              <c:numCache>
                <c:ptCount val="3"/>
              </c:numCache>
            </c:numRef>
          </c:val>
        </c:ser>
        <c:axId val="65707184"/>
        <c:axId val="54493745"/>
      </c:barChart>
      <c:catAx>
        <c:axId val="65707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93745"/>
        <c:crosses val="autoZero"/>
        <c:auto val="1"/>
        <c:lblOffset val="100"/>
        <c:tickLblSkip val="1"/>
        <c:noMultiLvlLbl val="0"/>
      </c:catAx>
      <c:valAx>
        <c:axId val="544937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071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925"/>
          <c:y val="0.482"/>
          <c:w val="0.0625"/>
          <c:h val="0.03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luatvietnam.vn/tin-phap-luat/tong-hop-muc-luong-co-so-qua-cac-nam-230-16476-article.html" TargetMode="External" /><Relationship Id="rId3" Type="http://schemas.openxmlformats.org/officeDocument/2006/relationships/hyperlink" Target="https://luatvietnam.vn/tin-phap-luat/tong-hop-muc-luong-co-so-qua-cac-nam-230-16476-article.html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s://luatvietnam.vn/tin-phap-luat/tong-hop-muc-luong-co-so-qua-cac-nam-230-16476-article.html" TargetMode="External" /><Relationship Id="rId6" Type="http://schemas.openxmlformats.org/officeDocument/2006/relationships/hyperlink" Target="https://luatvietnam.vn/tin-phap-luat/tong-hop-muc-luong-co-so-qua-cac-nam-230-16476-article.html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s://luatvietnam.vn/tin-phap-luat/tong-hop-muc-luong-co-so-qua-cac-nam-230-16476-article.html" TargetMode="External" /><Relationship Id="rId9" Type="http://schemas.openxmlformats.org/officeDocument/2006/relationships/hyperlink" Target="https://luatvietnam.vn/tin-phap-luat/tong-hop-muc-luong-co-so-qua-cac-nam-230-16476-article.html" TargetMode="External" /><Relationship Id="rId10" Type="http://schemas.openxmlformats.org/officeDocument/2006/relationships/image" Target="../media/image4.png" /><Relationship Id="rId11" Type="http://schemas.openxmlformats.org/officeDocument/2006/relationships/hyperlink" Target="https://luatvietnam.vn/tin-phap-luat/tong-hop-muc-luong-co-so-qua-cac-nam-230-16476-article.html" TargetMode="External" /><Relationship Id="rId12" Type="http://schemas.openxmlformats.org/officeDocument/2006/relationships/hyperlink" Target="https://luatvietnam.vn/tin-phap-luat/tong-hop-muc-luong-co-so-qua-cac-nam-230-16476-article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832256400" y="83225640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323850</xdr:colOff>
      <xdr:row>2</xdr:row>
      <xdr:rowOff>123825</xdr:rowOff>
    </xdr:to>
    <xdr:pic>
      <xdr:nvPicPr>
        <xdr:cNvPr id="1" name="Picture 1" descr="share-post-ico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323850</xdr:colOff>
      <xdr:row>2</xdr:row>
      <xdr:rowOff>123825</xdr:rowOff>
    </xdr:to>
    <xdr:pic>
      <xdr:nvPicPr>
        <xdr:cNvPr id="2" name="Picture 2" descr="share-post-icon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000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323850</xdr:colOff>
      <xdr:row>2</xdr:row>
      <xdr:rowOff>123825</xdr:rowOff>
    </xdr:to>
    <xdr:pic>
      <xdr:nvPicPr>
        <xdr:cNvPr id="3" name="Picture 3" descr="share-post-icon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2000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323850</xdr:colOff>
      <xdr:row>2</xdr:row>
      <xdr:rowOff>123825</xdr:rowOff>
    </xdr:to>
    <xdr:pic>
      <xdr:nvPicPr>
        <xdr:cNvPr id="4" name="Picture 4" descr="share-post-icon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00025"/>
          <a:ext cx="323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UYEN%20TRICH%20BHXH%20YT%20_NAM%202017_XA%20TUA%20THA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 linh T 8_2016 ()"/>
      <sheetName val="CK (1)"/>
      <sheetName val="CK (2)"/>
      <sheetName val="CK (3)"/>
      <sheetName val="CK (4)"/>
      <sheetName val="CK (5)"/>
      <sheetName val="CK (6)"/>
      <sheetName val="CK (7)"/>
      <sheetName val="CK (8)"/>
      <sheetName val="CK (9)"/>
      <sheetName val="CK (10)"/>
      <sheetName val="CK (11)"/>
      <sheetName val="CK (12)"/>
      <sheetName val="CK _TONG HOP (1)"/>
      <sheetName val="DBHD TU TH 1 DEN T(6)"/>
      <sheetName val="DBHD TU TH 7 DEN T(2)"/>
      <sheetName val="DBHD _TONG HOP(3)"/>
      <sheetName val="HUU XA TU T 1_&gt;6"/>
      <sheetName val="HUU XA TU T 7_&gt;1 (2)"/>
      <sheetName val="HUU XA_ TONG HOP (3)"/>
      <sheetName val="KCT XA(1_&gt;6)"/>
      <sheetName val="KCT XA TU TH 7 DEN T(12)"/>
      <sheetName val="TONG HOP(1)"/>
      <sheetName val="Sheet1"/>
      <sheetName val="TONG HOP"/>
    </sheetNames>
    <sheetDataSet>
      <sheetData sheetId="15">
        <row r="25">
          <cell r="G25">
            <v>5265000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luatvietnam.vn/lao-dong/nghi-dinh-203-2004-nd-cp-chinh-phu-16737-d1.html" TargetMode="External" /><Relationship Id="rId2" Type="http://schemas.openxmlformats.org/officeDocument/2006/relationships/hyperlink" Target="http://luatvietnam.vn/lao-dong/nghi-dinh-118-2005-nd-cp-chinh-phu-17742-d1.html" TargetMode="External" /><Relationship Id="rId3" Type="http://schemas.openxmlformats.org/officeDocument/2006/relationships/hyperlink" Target="http://luatvietnam.vn/lao-dong/nghi-dinh-94-2006-nd-cp-chinh-phu-19107-d1.html" TargetMode="External" /><Relationship Id="rId4" Type="http://schemas.openxmlformats.org/officeDocument/2006/relationships/hyperlink" Target="https://luatvietnam.vn/lao-dong/nghi-dinh-33-2009-nd-cp-chinh-phu-40933-d1.html" TargetMode="External" /><Relationship Id="rId5" Type="http://schemas.openxmlformats.org/officeDocument/2006/relationships/hyperlink" Target="https://luatvietnam.vn/lao-dong/nghi-dinh-28-2010-nd-cp-chinh-phu-50901-d1.html" TargetMode="External" /><Relationship Id="rId6" Type="http://schemas.openxmlformats.org/officeDocument/2006/relationships/hyperlink" Target="https://luatvietnam.vn/lao-dong/nghi-dinh-22-2011-nd-cp-chinh-phu-60627-d1.html" TargetMode="External" /><Relationship Id="rId7" Type="http://schemas.openxmlformats.org/officeDocument/2006/relationships/hyperlink" Target="http://luatvietnam.vn/lao-dong/nghi-dinh-31-2012-nd-cp-chinh-phu-69633-d1.html" TargetMode="External" /><Relationship Id="rId8" Type="http://schemas.openxmlformats.org/officeDocument/2006/relationships/hyperlink" Target="http://luatvietnam.vn/lao-dong/nghi-dinh-66-2013-nd-cp-chinh-phu-79354-d1.html" TargetMode="External" /><Relationship Id="rId9" Type="http://schemas.openxmlformats.org/officeDocument/2006/relationships/hyperlink" Target="http://luatvietnam.vn/lao-dong/nghi-dinh-47-2016-nd-cp-chinh-phu-105535-d1.html" TargetMode="External" /><Relationship Id="rId10" Type="http://schemas.openxmlformats.org/officeDocument/2006/relationships/hyperlink" Target="http://luatvietnam.vn/lao-dong/nghi-dinh-47-2017-nd-cp-chinh-phu-113971-d1.html" TargetMode="External" /><Relationship Id="rId11" Type="http://schemas.openxmlformats.org/officeDocument/2006/relationships/hyperlink" Target="http://luatvietnam.vn/lao-dong/nghi-dinh-72-2018-nd-cp-muc-luong-co-so-voi-can-bo-cong-chuc-vien-chuc-luc-luong-vu-trang-163061-d1.html" TargetMode="External" /><Relationship Id="rId12" Type="http://schemas.openxmlformats.org/officeDocument/2006/relationships/hyperlink" Target="https://luatvietnam.vn/tai-chinh/nghi-quyet-70-2018-qh14-ve-du-toan-ngan-sach-nha-nuoc-nam-2019-169350-d1.html" TargetMode="External" /><Relationship Id="rId13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view="pageBreakPreview" zoomScale="90" zoomScaleNormal="90" zoomScaleSheetLayoutView="90" zoomScalePageLayoutView="0" workbookViewId="0" topLeftCell="A7">
      <selection activeCell="K10" sqref="K10"/>
    </sheetView>
  </sheetViews>
  <sheetFormatPr defaultColWidth="9.00390625" defaultRowHeight="15.75"/>
  <cols>
    <col min="1" max="1" width="3.50390625" style="6" customWidth="1"/>
    <col min="2" max="2" width="15.875" style="6" customWidth="1"/>
    <col min="3" max="3" width="8.00390625" style="6" customWidth="1"/>
    <col min="4" max="4" width="10.875" style="6" customWidth="1"/>
    <col min="5" max="5" width="6.00390625" style="7" customWidth="1"/>
    <col min="6" max="6" width="8.75390625" style="6" customWidth="1"/>
    <col min="7" max="7" width="6.625" style="7" customWidth="1"/>
    <col min="8" max="9" width="9.625" style="6" customWidth="1"/>
    <col min="10" max="10" width="11.125" style="6" customWidth="1"/>
    <col min="11" max="11" width="11.375" style="6" customWidth="1"/>
    <col min="12" max="12" width="11.125" style="51" customWidth="1"/>
    <col min="13" max="13" width="11.00390625" style="6" customWidth="1"/>
    <col min="14" max="14" width="11.50390625" style="6" customWidth="1"/>
    <col min="15" max="15" width="11.00390625" style="56" customWidth="1"/>
    <col min="16" max="16" width="10.875" style="6" customWidth="1"/>
    <col min="17" max="17" width="8.50390625" style="6" customWidth="1"/>
    <col min="18" max="19" width="11.00390625" style="6" customWidth="1"/>
    <col min="20" max="20" width="10.375" style="6" customWidth="1"/>
    <col min="21" max="21" width="11.125" style="6" bestFit="1" customWidth="1"/>
    <col min="22" max="16384" width="9.00390625" style="6" customWidth="1"/>
  </cols>
  <sheetData>
    <row r="1" spans="1:22" ht="21.75" customHeight="1">
      <c r="A1" s="158" t="s">
        <v>106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37"/>
      <c r="V1" s="37"/>
    </row>
    <row r="2" spans="1:20" ht="16.5" customHeight="1">
      <c r="A2" s="158" t="s">
        <v>146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15" ht="15.75">
      <c r="A3" s="6" t="s">
        <v>53</v>
      </c>
      <c r="D3" s="38"/>
      <c r="E3" s="39"/>
      <c r="F3" s="40"/>
      <c r="L3" s="6"/>
      <c r="O3" s="6"/>
    </row>
    <row r="4" spans="1:20" ht="15.75" customHeight="1">
      <c r="A4" s="171" t="s">
        <v>14</v>
      </c>
      <c r="B4" s="171" t="s">
        <v>24</v>
      </c>
      <c r="C4" s="174" t="s">
        <v>7</v>
      </c>
      <c r="D4" s="175"/>
      <c r="E4" s="157"/>
      <c r="F4" s="157"/>
      <c r="G4" s="157"/>
      <c r="H4" s="157"/>
      <c r="I4" s="159" t="s">
        <v>31</v>
      </c>
      <c r="J4" s="162" t="s">
        <v>22</v>
      </c>
      <c r="K4" s="163"/>
      <c r="L4" s="164"/>
      <c r="M4" s="162" t="s">
        <v>21</v>
      </c>
      <c r="N4" s="163"/>
      <c r="O4" s="164"/>
      <c r="P4" s="159" t="s">
        <v>29</v>
      </c>
      <c r="Q4" s="159" t="s">
        <v>30</v>
      </c>
      <c r="R4" s="159" t="s">
        <v>32</v>
      </c>
      <c r="S4" s="159" t="s">
        <v>33</v>
      </c>
      <c r="T4" s="159" t="s">
        <v>16</v>
      </c>
    </row>
    <row r="5" spans="1:20" ht="30" customHeight="1">
      <c r="A5" s="172"/>
      <c r="B5" s="172"/>
      <c r="C5" s="159" t="s">
        <v>9</v>
      </c>
      <c r="D5" s="159" t="s">
        <v>8</v>
      </c>
      <c r="E5" s="168" t="s">
        <v>23</v>
      </c>
      <c r="F5" s="169"/>
      <c r="G5" s="168" t="s">
        <v>10</v>
      </c>
      <c r="H5" s="170"/>
      <c r="I5" s="160"/>
      <c r="J5" s="165"/>
      <c r="K5" s="166"/>
      <c r="L5" s="167"/>
      <c r="M5" s="165"/>
      <c r="N5" s="166"/>
      <c r="O5" s="167"/>
      <c r="P5" s="160"/>
      <c r="Q5" s="160"/>
      <c r="R5" s="160"/>
      <c r="S5" s="160"/>
      <c r="T5" s="160"/>
    </row>
    <row r="6" spans="1:20" ht="79.5" customHeight="1">
      <c r="A6" s="173"/>
      <c r="B6" s="173"/>
      <c r="C6" s="161"/>
      <c r="D6" s="161"/>
      <c r="E6" s="2" t="s">
        <v>11</v>
      </c>
      <c r="F6" s="2" t="s">
        <v>8</v>
      </c>
      <c r="G6" s="2" t="s">
        <v>11</v>
      </c>
      <c r="H6" s="30" t="s">
        <v>8</v>
      </c>
      <c r="I6" s="161"/>
      <c r="J6" s="3" t="s">
        <v>17</v>
      </c>
      <c r="K6" s="3" t="s">
        <v>222</v>
      </c>
      <c r="L6" s="4" t="s">
        <v>13</v>
      </c>
      <c r="M6" s="3" t="s">
        <v>18</v>
      </c>
      <c r="N6" s="3" t="s">
        <v>19</v>
      </c>
      <c r="O6" s="57" t="s">
        <v>13</v>
      </c>
      <c r="P6" s="160"/>
      <c r="Q6" s="161"/>
      <c r="R6" s="161"/>
      <c r="S6" s="161"/>
      <c r="T6" s="161"/>
    </row>
    <row r="7" spans="1:20" ht="18.75" customHeight="1">
      <c r="A7" s="54" t="s">
        <v>34</v>
      </c>
      <c r="B7" s="54" t="s">
        <v>35</v>
      </c>
      <c r="C7" s="54" t="s">
        <v>36</v>
      </c>
      <c r="D7" s="54" t="s">
        <v>37</v>
      </c>
      <c r="E7" s="54" t="s">
        <v>38</v>
      </c>
      <c r="F7" s="54" t="s">
        <v>39</v>
      </c>
      <c r="G7" s="54" t="s">
        <v>40</v>
      </c>
      <c r="H7" s="54" t="s">
        <v>41</v>
      </c>
      <c r="I7" s="54" t="s">
        <v>42</v>
      </c>
      <c r="J7" s="55" t="s">
        <v>43</v>
      </c>
      <c r="K7" s="55" t="s">
        <v>44</v>
      </c>
      <c r="L7" s="55" t="s">
        <v>45</v>
      </c>
      <c r="M7" s="55" t="s">
        <v>46</v>
      </c>
      <c r="N7" s="55" t="s">
        <v>47</v>
      </c>
      <c r="O7" s="55" t="s">
        <v>48</v>
      </c>
      <c r="P7" s="55" t="s">
        <v>15</v>
      </c>
      <c r="Q7" s="54" t="s">
        <v>49</v>
      </c>
      <c r="R7" s="54" t="s">
        <v>50</v>
      </c>
      <c r="S7" s="54" t="s">
        <v>51</v>
      </c>
      <c r="T7" s="54" t="s">
        <v>52</v>
      </c>
    </row>
    <row r="8" spans="1:20" ht="15.75">
      <c r="A8" s="16"/>
      <c r="B8" s="17" t="s">
        <v>0</v>
      </c>
      <c r="C8" s="41">
        <f aca="true" t="shared" si="0" ref="C8:H8">SUM(C9:C24)</f>
        <v>31.549999999999997</v>
      </c>
      <c r="D8" s="42">
        <f t="shared" si="0"/>
        <v>41015000</v>
      </c>
      <c r="E8" s="64">
        <f t="shared" si="0"/>
        <v>0.19</v>
      </c>
      <c r="F8" s="42">
        <f t="shared" si="0"/>
        <v>247000</v>
      </c>
      <c r="G8" s="15">
        <f t="shared" si="0"/>
        <v>0.8999999999999999</v>
      </c>
      <c r="H8" s="9">
        <f t="shared" si="0"/>
        <v>1170000</v>
      </c>
      <c r="I8" s="9"/>
      <c r="J8" s="42">
        <f aca="true" t="shared" si="1" ref="J8:O8">SUM(J9:J24)</f>
        <v>1272960</v>
      </c>
      <c r="K8" s="42">
        <f t="shared" si="1"/>
        <v>7425600</v>
      </c>
      <c r="L8" s="42">
        <f t="shared" si="1"/>
        <v>8698560</v>
      </c>
      <c r="M8" s="42">
        <f t="shared" si="1"/>
        <v>636480</v>
      </c>
      <c r="N8" s="42">
        <f t="shared" si="1"/>
        <v>3394560</v>
      </c>
      <c r="O8" s="42">
        <f t="shared" si="1"/>
        <v>4031040</v>
      </c>
      <c r="P8" s="42"/>
      <c r="Q8" s="42"/>
      <c r="R8" s="42"/>
      <c r="S8" s="43"/>
      <c r="T8" s="16"/>
    </row>
    <row r="9" spans="1:20" ht="15.75">
      <c r="A9" s="21" t="s">
        <v>34</v>
      </c>
      <c r="B9" s="1" t="s">
        <v>108</v>
      </c>
      <c r="C9" s="22">
        <v>2.46</v>
      </c>
      <c r="D9" s="44">
        <f>C9*I9</f>
        <v>3198000</v>
      </c>
      <c r="E9" s="78">
        <v>0.19</v>
      </c>
      <c r="F9" s="45">
        <f>E9*I9</f>
        <v>247000</v>
      </c>
      <c r="G9" s="22">
        <v>0.25</v>
      </c>
      <c r="H9" s="45">
        <f>G9*I9</f>
        <v>325000</v>
      </c>
      <c r="I9" s="45">
        <v>1300000</v>
      </c>
      <c r="J9" s="44">
        <f>(D9+F9+H9)*3%</f>
        <v>113100</v>
      </c>
      <c r="K9" s="44">
        <f>(D9+F9+H9)*17.5%</f>
        <v>659750</v>
      </c>
      <c r="L9" s="44">
        <f aca="true" t="shared" si="2" ref="L9:L21">J9+K9</f>
        <v>772850</v>
      </c>
      <c r="M9" s="44">
        <f aca="true" t="shared" si="3" ref="M9:M21">(D9+F9+H9)*1.5%</f>
        <v>56550</v>
      </c>
      <c r="N9" s="44">
        <f aca="true" t="shared" si="4" ref="N9:N21">(D9+F9+H9)*8%</f>
        <v>301600</v>
      </c>
      <c r="O9" s="44">
        <f aca="true" t="shared" si="5" ref="O9:O21">M9+N9</f>
        <v>358150</v>
      </c>
      <c r="P9" s="44"/>
      <c r="Q9" s="44"/>
      <c r="R9" s="44"/>
      <c r="S9" s="16"/>
      <c r="T9" s="16"/>
    </row>
    <row r="10" spans="1:20" ht="15.75">
      <c r="A10" s="21" t="s">
        <v>35</v>
      </c>
      <c r="B10" s="18" t="s">
        <v>109</v>
      </c>
      <c r="C10" s="22">
        <v>2.46</v>
      </c>
      <c r="D10" s="44">
        <f aca="true" t="shared" si="6" ref="D10:D22">C10*I10</f>
        <v>3198000</v>
      </c>
      <c r="E10" s="12"/>
      <c r="F10" s="45">
        <f aca="true" t="shared" si="7" ref="F10:F22">(E10*1150000)</f>
        <v>0</v>
      </c>
      <c r="G10" s="22">
        <v>0.2</v>
      </c>
      <c r="H10" s="45">
        <f>G10*I10</f>
        <v>260000</v>
      </c>
      <c r="I10" s="45">
        <v>1300000</v>
      </c>
      <c r="J10" s="44">
        <f aca="true" t="shared" si="8" ref="J10:J21">(D10+F10+H10)*3%</f>
        <v>103740</v>
      </c>
      <c r="K10" s="44">
        <f>(D10+F10+H10)*17.5%</f>
        <v>605150</v>
      </c>
      <c r="L10" s="44">
        <f t="shared" si="2"/>
        <v>708890</v>
      </c>
      <c r="M10" s="44">
        <f t="shared" si="3"/>
        <v>51870</v>
      </c>
      <c r="N10" s="44">
        <f t="shared" si="4"/>
        <v>276640</v>
      </c>
      <c r="O10" s="44">
        <f t="shared" si="5"/>
        <v>328510</v>
      </c>
      <c r="P10" s="44"/>
      <c r="Q10" s="44"/>
      <c r="R10" s="44"/>
      <c r="S10" s="18"/>
      <c r="T10" s="18"/>
    </row>
    <row r="11" spans="1:20" ht="15.75">
      <c r="A11" s="21" t="s">
        <v>36</v>
      </c>
      <c r="B11" s="18" t="s">
        <v>110</v>
      </c>
      <c r="C11" s="22">
        <v>2.66</v>
      </c>
      <c r="D11" s="44">
        <f t="shared" si="6"/>
        <v>3458000</v>
      </c>
      <c r="E11" s="22"/>
      <c r="F11" s="45">
        <f t="shared" si="7"/>
        <v>0</v>
      </c>
      <c r="G11" s="22">
        <v>0.25</v>
      </c>
      <c r="H11" s="45">
        <f>G11*I11</f>
        <v>325000</v>
      </c>
      <c r="I11" s="45">
        <v>1300000</v>
      </c>
      <c r="J11" s="44">
        <f t="shared" si="8"/>
        <v>113490</v>
      </c>
      <c r="K11" s="44">
        <f aca="true" t="shared" si="9" ref="K11:K22">(D11+F11+H11)*17.5%</f>
        <v>662025</v>
      </c>
      <c r="L11" s="44">
        <f t="shared" si="2"/>
        <v>775515</v>
      </c>
      <c r="M11" s="44">
        <f t="shared" si="3"/>
        <v>56745</v>
      </c>
      <c r="N11" s="44">
        <f t="shared" si="4"/>
        <v>302640</v>
      </c>
      <c r="O11" s="44">
        <f t="shared" si="5"/>
        <v>359385</v>
      </c>
      <c r="P11" s="44"/>
      <c r="Q11" s="44"/>
      <c r="R11" s="44"/>
      <c r="S11" s="18"/>
      <c r="T11" s="18"/>
    </row>
    <row r="12" spans="1:20" ht="15.75">
      <c r="A12" s="21" t="s">
        <v>37</v>
      </c>
      <c r="B12" s="18" t="s">
        <v>111</v>
      </c>
      <c r="C12" s="22">
        <v>2.34</v>
      </c>
      <c r="D12" s="44">
        <f t="shared" si="6"/>
        <v>3042000</v>
      </c>
      <c r="E12" s="12"/>
      <c r="F12" s="45">
        <f t="shared" si="7"/>
        <v>0</v>
      </c>
      <c r="G12" s="22">
        <v>0.2</v>
      </c>
      <c r="H12" s="45">
        <f>G12*I12</f>
        <v>260000</v>
      </c>
      <c r="I12" s="45">
        <v>1300000</v>
      </c>
      <c r="J12" s="44">
        <f t="shared" si="8"/>
        <v>99060</v>
      </c>
      <c r="K12" s="44">
        <f t="shared" si="9"/>
        <v>577850</v>
      </c>
      <c r="L12" s="44">
        <f t="shared" si="2"/>
        <v>676910</v>
      </c>
      <c r="M12" s="44">
        <f t="shared" si="3"/>
        <v>49530</v>
      </c>
      <c r="N12" s="44">
        <f t="shared" si="4"/>
        <v>264160</v>
      </c>
      <c r="O12" s="44">
        <f t="shared" si="5"/>
        <v>313690</v>
      </c>
      <c r="P12" s="44"/>
      <c r="Q12" s="44"/>
      <c r="R12" s="44"/>
      <c r="S12" s="18"/>
      <c r="T12" s="18"/>
    </row>
    <row r="13" spans="1:20" ht="15.75">
      <c r="A13" s="21" t="s">
        <v>38</v>
      </c>
      <c r="B13" s="18" t="s">
        <v>112</v>
      </c>
      <c r="C13" s="22">
        <v>3</v>
      </c>
      <c r="D13" s="44">
        <f t="shared" si="6"/>
        <v>3900000</v>
      </c>
      <c r="E13" s="12"/>
      <c r="F13" s="45">
        <f t="shared" si="7"/>
        <v>0</v>
      </c>
      <c r="G13" s="22"/>
      <c r="H13" s="45">
        <f>G13*I13</f>
        <v>0</v>
      </c>
      <c r="I13" s="45">
        <v>1300000</v>
      </c>
      <c r="J13" s="44">
        <f t="shared" si="8"/>
        <v>117000</v>
      </c>
      <c r="K13" s="44">
        <f t="shared" si="9"/>
        <v>682500</v>
      </c>
      <c r="L13" s="44">
        <f t="shared" si="2"/>
        <v>799500</v>
      </c>
      <c r="M13" s="44">
        <f t="shared" si="3"/>
        <v>58500</v>
      </c>
      <c r="N13" s="44">
        <f t="shared" si="4"/>
        <v>312000</v>
      </c>
      <c r="O13" s="44">
        <f t="shared" si="5"/>
        <v>370500</v>
      </c>
      <c r="P13" s="44"/>
      <c r="Q13" s="44"/>
      <c r="R13" s="44"/>
      <c r="S13" s="18"/>
      <c r="T13" s="18"/>
    </row>
    <row r="14" spans="1:20" ht="15.75">
      <c r="A14" s="21" t="s">
        <v>39</v>
      </c>
      <c r="B14" s="18" t="s">
        <v>113</v>
      </c>
      <c r="C14" s="22">
        <v>2.06</v>
      </c>
      <c r="D14" s="44">
        <f t="shared" si="6"/>
        <v>2678000</v>
      </c>
      <c r="E14" s="12"/>
      <c r="F14" s="45">
        <f t="shared" si="7"/>
        <v>0</v>
      </c>
      <c r="G14" s="22"/>
      <c r="H14" s="45">
        <f aca="true" t="shared" si="10" ref="H14:H22">(G14*1150000)</f>
        <v>0</v>
      </c>
      <c r="I14" s="45">
        <v>1300000</v>
      </c>
      <c r="J14" s="44">
        <f t="shared" si="8"/>
        <v>80340</v>
      </c>
      <c r="K14" s="44">
        <f t="shared" si="9"/>
        <v>468649.99999999994</v>
      </c>
      <c r="L14" s="44">
        <f t="shared" si="2"/>
        <v>548990</v>
      </c>
      <c r="M14" s="44">
        <f t="shared" si="3"/>
        <v>40170</v>
      </c>
      <c r="N14" s="44">
        <f t="shared" si="4"/>
        <v>214240</v>
      </c>
      <c r="O14" s="44">
        <f t="shared" si="5"/>
        <v>254410</v>
      </c>
      <c r="P14" s="44"/>
      <c r="Q14" s="44"/>
      <c r="R14" s="44"/>
      <c r="S14" s="18"/>
      <c r="T14" s="18"/>
    </row>
    <row r="15" spans="1:20" ht="15.75">
      <c r="A15" s="21" t="s">
        <v>40</v>
      </c>
      <c r="B15" s="18" t="s">
        <v>114</v>
      </c>
      <c r="C15" s="22">
        <v>2.86</v>
      </c>
      <c r="D15" s="44">
        <f t="shared" si="6"/>
        <v>3718000</v>
      </c>
      <c r="E15" s="12"/>
      <c r="F15" s="45">
        <f t="shared" si="7"/>
        <v>0</v>
      </c>
      <c r="G15" s="22"/>
      <c r="H15" s="45">
        <f t="shared" si="10"/>
        <v>0</v>
      </c>
      <c r="I15" s="45">
        <v>1300000</v>
      </c>
      <c r="J15" s="44">
        <f t="shared" si="8"/>
        <v>111540</v>
      </c>
      <c r="K15" s="44">
        <f t="shared" si="9"/>
        <v>650650</v>
      </c>
      <c r="L15" s="44">
        <f t="shared" si="2"/>
        <v>762190</v>
      </c>
      <c r="M15" s="44">
        <f t="shared" si="3"/>
        <v>55770</v>
      </c>
      <c r="N15" s="44">
        <f t="shared" si="4"/>
        <v>297440</v>
      </c>
      <c r="O15" s="44">
        <f t="shared" si="5"/>
        <v>353210</v>
      </c>
      <c r="P15" s="44"/>
      <c r="Q15" s="44"/>
      <c r="R15" s="44"/>
      <c r="S15" s="18"/>
      <c r="T15" s="18"/>
    </row>
    <row r="16" spans="1:20" ht="15.75">
      <c r="A16" s="21" t="s">
        <v>41</v>
      </c>
      <c r="B16" s="18" t="s">
        <v>115</v>
      </c>
      <c r="C16" s="22">
        <v>2.26</v>
      </c>
      <c r="D16" s="44">
        <f t="shared" si="6"/>
        <v>2937999.9999999995</v>
      </c>
      <c r="E16" s="12"/>
      <c r="F16" s="45">
        <f t="shared" si="7"/>
        <v>0</v>
      </c>
      <c r="G16" s="22"/>
      <c r="H16" s="45">
        <f t="shared" si="10"/>
        <v>0</v>
      </c>
      <c r="I16" s="45">
        <v>1300000</v>
      </c>
      <c r="J16" s="44">
        <f t="shared" si="8"/>
        <v>88139.99999999999</v>
      </c>
      <c r="K16" s="44">
        <f t="shared" si="9"/>
        <v>514149.9999999999</v>
      </c>
      <c r="L16" s="44">
        <f t="shared" si="2"/>
        <v>602289.9999999999</v>
      </c>
      <c r="M16" s="44">
        <f t="shared" si="3"/>
        <v>44069.99999999999</v>
      </c>
      <c r="N16" s="44">
        <f t="shared" si="4"/>
        <v>235039.99999999997</v>
      </c>
      <c r="O16" s="44">
        <f t="shared" si="5"/>
        <v>279109.99999999994</v>
      </c>
      <c r="P16" s="44"/>
      <c r="Q16" s="44"/>
      <c r="R16" s="44"/>
      <c r="S16" s="18"/>
      <c r="T16" s="18"/>
    </row>
    <row r="17" spans="1:20" ht="15.75">
      <c r="A17" s="21"/>
      <c r="B17" s="18"/>
      <c r="C17" s="22"/>
      <c r="D17" s="44">
        <f t="shared" si="6"/>
        <v>0</v>
      </c>
      <c r="E17" s="12"/>
      <c r="F17" s="45">
        <f t="shared" si="7"/>
        <v>0</v>
      </c>
      <c r="G17" s="22"/>
      <c r="H17" s="45">
        <f t="shared" si="10"/>
        <v>0</v>
      </c>
      <c r="I17" s="45">
        <v>1300000</v>
      </c>
      <c r="J17" s="44">
        <f t="shared" si="8"/>
        <v>0</v>
      </c>
      <c r="K17" s="44">
        <f t="shared" si="9"/>
        <v>0</v>
      </c>
      <c r="L17" s="44">
        <f t="shared" si="2"/>
        <v>0</v>
      </c>
      <c r="M17" s="44">
        <f t="shared" si="3"/>
        <v>0</v>
      </c>
      <c r="N17" s="44">
        <f t="shared" si="4"/>
        <v>0</v>
      </c>
      <c r="O17" s="44">
        <f t="shared" si="5"/>
        <v>0</v>
      </c>
      <c r="P17" s="44"/>
      <c r="Q17" s="44"/>
      <c r="R17" s="44"/>
      <c r="S17" s="18"/>
      <c r="T17" s="18"/>
    </row>
    <row r="18" spans="1:20" ht="15.75">
      <c r="A18" s="21">
        <v>9</v>
      </c>
      <c r="B18" s="18" t="s">
        <v>116</v>
      </c>
      <c r="C18" s="22">
        <v>2.26</v>
      </c>
      <c r="D18" s="44">
        <f t="shared" si="6"/>
        <v>2937999.9999999995</v>
      </c>
      <c r="E18" s="12"/>
      <c r="F18" s="45">
        <f t="shared" si="7"/>
        <v>0</v>
      </c>
      <c r="G18" s="22"/>
      <c r="H18" s="45">
        <f t="shared" si="10"/>
        <v>0</v>
      </c>
      <c r="I18" s="45">
        <v>1300000</v>
      </c>
      <c r="J18" s="44">
        <f t="shared" si="8"/>
        <v>88139.99999999999</v>
      </c>
      <c r="K18" s="44">
        <f t="shared" si="9"/>
        <v>514149.9999999999</v>
      </c>
      <c r="L18" s="44">
        <f t="shared" si="2"/>
        <v>602289.9999999999</v>
      </c>
      <c r="M18" s="44">
        <f t="shared" si="3"/>
        <v>44069.99999999999</v>
      </c>
      <c r="N18" s="44">
        <f t="shared" si="4"/>
        <v>235039.99999999997</v>
      </c>
      <c r="O18" s="44">
        <f t="shared" si="5"/>
        <v>279109.99999999994</v>
      </c>
      <c r="P18" s="44"/>
      <c r="Q18" s="44"/>
      <c r="R18" s="44"/>
      <c r="S18" s="18"/>
      <c r="T18" s="18"/>
    </row>
    <row r="19" spans="1:20" ht="15.75">
      <c r="A19" s="21">
        <v>10</v>
      </c>
      <c r="B19" s="18" t="s">
        <v>117</v>
      </c>
      <c r="C19" s="22">
        <v>2.46</v>
      </c>
      <c r="D19" s="44">
        <f t="shared" si="6"/>
        <v>3198000</v>
      </c>
      <c r="E19" s="12"/>
      <c r="F19" s="45">
        <f t="shared" si="7"/>
        <v>0</v>
      </c>
      <c r="G19" s="22"/>
      <c r="H19" s="45">
        <f t="shared" si="10"/>
        <v>0</v>
      </c>
      <c r="I19" s="45">
        <v>1300000</v>
      </c>
      <c r="J19" s="44">
        <f t="shared" si="8"/>
        <v>95940</v>
      </c>
      <c r="K19" s="44">
        <f t="shared" si="9"/>
        <v>559650</v>
      </c>
      <c r="L19" s="44">
        <f t="shared" si="2"/>
        <v>655590</v>
      </c>
      <c r="M19" s="44">
        <f t="shared" si="3"/>
        <v>47970</v>
      </c>
      <c r="N19" s="44">
        <f t="shared" si="4"/>
        <v>255840</v>
      </c>
      <c r="O19" s="44">
        <f t="shared" si="5"/>
        <v>303810</v>
      </c>
      <c r="P19" s="44"/>
      <c r="Q19" s="44"/>
      <c r="R19" s="44"/>
      <c r="S19" s="18"/>
      <c r="T19" s="18"/>
    </row>
    <row r="20" spans="1:20" ht="15.75">
      <c r="A20" s="21">
        <v>11</v>
      </c>
      <c r="B20" s="18" t="s">
        <v>118</v>
      </c>
      <c r="C20" s="22">
        <v>2.26</v>
      </c>
      <c r="D20" s="44">
        <f t="shared" si="6"/>
        <v>2937999.9999999995</v>
      </c>
      <c r="E20" s="12"/>
      <c r="F20" s="45">
        <f t="shared" si="7"/>
        <v>0</v>
      </c>
      <c r="G20" s="22"/>
      <c r="H20" s="45">
        <f t="shared" si="10"/>
        <v>0</v>
      </c>
      <c r="I20" s="45">
        <v>1300000</v>
      </c>
      <c r="J20" s="44">
        <f t="shared" si="8"/>
        <v>88139.99999999999</v>
      </c>
      <c r="K20" s="44">
        <f t="shared" si="9"/>
        <v>514149.9999999999</v>
      </c>
      <c r="L20" s="44">
        <f t="shared" si="2"/>
        <v>602289.9999999999</v>
      </c>
      <c r="M20" s="44">
        <f t="shared" si="3"/>
        <v>44069.99999999999</v>
      </c>
      <c r="N20" s="44">
        <f t="shared" si="4"/>
        <v>235039.99999999997</v>
      </c>
      <c r="O20" s="44">
        <f t="shared" si="5"/>
        <v>279109.99999999994</v>
      </c>
      <c r="P20" s="44"/>
      <c r="Q20" s="44"/>
      <c r="R20" s="44"/>
      <c r="S20" s="18"/>
      <c r="T20" s="18"/>
    </row>
    <row r="21" spans="1:20" ht="15.75">
      <c r="A21" s="21">
        <v>12</v>
      </c>
      <c r="B21" s="18" t="s">
        <v>119</v>
      </c>
      <c r="C21" s="22">
        <v>2.06</v>
      </c>
      <c r="D21" s="44">
        <f t="shared" si="6"/>
        <v>2678000</v>
      </c>
      <c r="E21" s="12"/>
      <c r="F21" s="45">
        <f t="shared" si="7"/>
        <v>0</v>
      </c>
      <c r="G21" s="22"/>
      <c r="H21" s="45">
        <f t="shared" si="10"/>
        <v>0</v>
      </c>
      <c r="I21" s="45">
        <v>1300000</v>
      </c>
      <c r="J21" s="44">
        <f t="shared" si="8"/>
        <v>80340</v>
      </c>
      <c r="K21" s="44">
        <f t="shared" si="9"/>
        <v>468649.99999999994</v>
      </c>
      <c r="L21" s="44">
        <f t="shared" si="2"/>
        <v>548990</v>
      </c>
      <c r="M21" s="44">
        <f t="shared" si="3"/>
        <v>40170</v>
      </c>
      <c r="N21" s="44">
        <f t="shared" si="4"/>
        <v>214240</v>
      </c>
      <c r="O21" s="44">
        <f t="shared" si="5"/>
        <v>254410</v>
      </c>
      <c r="P21" s="44"/>
      <c r="Q21" s="44"/>
      <c r="R21" s="44"/>
      <c r="S21" s="18"/>
      <c r="T21" s="18"/>
    </row>
    <row r="22" spans="1:20" ht="15.75">
      <c r="A22" s="21">
        <v>13</v>
      </c>
      <c r="B22" s="18" t="s">
        <v>219</v>
      </c>
      <c r="C22" s="22">
        <v>2.41</v>
      </c>
      <c r="D22" s="44">
        <f t="shared" si="6"/>
        <v>3133000</v>
      </c>
      <c r="E22" s="12"/>
      <c r="F22" s="45">
        <f t="shared" si="7"/>
        <v>0</v>
      </c>
      <c r="G22" s="22"/>
      <c r="H22" s="45">
        <f t="shared" si="10"/>
        <v>0</v>
      </c>
      <c r="I22" s="45">
        <v>1300000</v>
      </c>
      <c r="J22" s="44">
        <f>(D22+F22+H22)*3%</f>
        <v>93990</v>
      </c>
      <c r="K22" s="44">
        <f t="shared" si="9"/>
        <v>548275</v>
      </c>
      <c r="L22" s="44">
        <f>J22+K22</f>
        <v>642265</v>
      </c>
      <c r="M22" s="44">
        <f>(D22+F22+H22)*1.5%</f>
        <v>46995</v>
      </c>
      <c r="N22" s="44">
        <f>(D22+F22+H22)*8%</f>
        <v>250640</v>
      </c>
      <c r="O22" s="44">
        <f>M22+N22</f>
        <v>297635</v>
      </c>
      <c r="P22" s="44"/>
      <c r="Q22" s="44"/>
      <c r="R22" s="44"/>
      <c r="S22" s="18"/>
      <c r="T22" s="18"/>
    </row>
    <row r="23" spans="1:20" ht="15.75">
      <c r="A23" s="21"/>
      <c r="B23" s="18"/>
      <c r="C23" s="22"/>
      <c r="D23" s="44"/>
      <c r="E23" s="12"/>
      <c r="F23" s="45"/>
      <c r="G23" s="22"/>
      <c r="H23" s="45"/>
      <c r="I23" s="45">
        <v>1300000</v>
      </c>
      <c r="J23" s="44"/>
      <c r="K23" s="44"/>
      <c r="L23" s="44"/>
      <c r="M23" s="44"/>
      <c r="N23" s="44"/>
      <c r="O23" s="44"/>
      <c r="P23" s="44"/>
      <c r="Q23" s="44"/>
      <c r="R23" s="44"/>
      <c r="S23" s="18"/>
      <c r="T23" s="18"/>
    </row>
    <row r="24" spans="1:20" ht="15.75">
      <c r="A24" s="21"/>
      <c r="B24" s="18"/>
      <c r="C24" s="22"/>
      <c r="D24" s="44"/>
      <c r="E24" s="12"/>
      <c r="F24" s="45"/>
      <c r="G24" s="22"/>
      <c r="H24" s="45"/>
      <c r="I24" s="45"/>
      <c r="J24" s="44"/>
      <c r="K24" s="44"/>
      <c r="L24" s="44"/>
      <c r="M24" s="44"/>
      <c r="N24" s="44"/>
      <c r="O24" s="44"/>
      <c r="P24" s="44"/>
      <c r="Q24" s="44"/>
      <c r="R24" s="44"/>
      <c r="S24" s="18"/>
      <c r="T24" s="18"/>
    </row>
    <row r="25" spans="1:20" ht="20.25" customHeight="1">
      <c r="A25" s="16"/>
      <c r="B25" s="19" t="s">
        <v>1</v>
      </c>
      <c r="C25" s="20">
        <v>1.86</v>
      </c>
      <c r="D25" s="46">
        <f>D26</f>
        <v>2139000</v>
      </c>
      <c r="E25" s="9">
        <f>E26</f>
        <v>0</v>
      </c>
      <c r="F25" s="9">
        <f>F26</f>
        <v>0</v>
      </c>
      <c r="G25" s="9">
        <f>G26</f>
        <v>0</v>
      </c>
      <c r="H25" s="46"/>
      <c r="I25" s="46"/>
      <c r="J25" s="46">
        <f aca="true" t="shared" si="11" ref="J25:O25">J26</f>
        <v>64170</v>
      </c>
      <c r="K25" s="46">
        <f t="shared" si="11"/>
        <v>374325</v>
      </c>
      <c r="L25" s="46">
        <f t="shared" si="11"/>
        <v>438495</v>
      </c>
      <c r="M25" s="46">
        <f t="shared" si="11"/>
        <v>32085</v>
      </c>
      <c r="N25" s="46">
        <f t="shared" si="11"/>
        <v>171120</v>
      </c>
      <c r="O25" s="46">
        <f t="shared" si="11"/>
        <v>203205</v>
      </c>
      <c r="P25" s="46"/>
      <c r="Q25" s="46"/>
      <c r="R25" s="46"/>
      <c r="S25" s="23"/>
      <c r="T25" s="23"/>
    </row>
    <row r="26" spans="1:20" ht="20.25" customHeight="1">
      <c r="A26" s="21">
        <v>14</v>
      </c>
      <c r="B26" s="1" t="s">
        <v>143</v>
      </c>
      <c r="C26" s="22">
        <v>1.86</v>
      </c>
      <c r="D26" s="44">
        <f>(C26*1150000)</f>
        <v>2139000</v>
      </c>
      <c r="E26" s="10"/>
      <c r="F26" s="9"/>
      <c r="G26" s="10"/>
      <c r="H26" s="46"/>
      <c r="I26" s="45">
        <v>1300000</v>
      </c>
      <c r="J26" s="44">
        <f>(D26+F26+H26)*3%</f>
        <v>64170</v>
      </c>
      <c r="K26" s="44">
        <f>(D26+F26+H26)*17.5%</f>
        <v>374325</v>
      </c>
      <c r="L26" s="44">
        <f>J26+K26</f>
        <v>438495</v>
      </c>
      <c r="M26" s="44">
        <f>(D26+F26+H26)*1.5%</f>
        <v>32085</v>
      </c>
      <c r="N26" s="44">
        <f>(D26+F26+H26)*8%</f>
        <v>171120</v>
      </c>
      <c r="O26" s="44">
        <f>M26+N26</f>
        <v>203205</v>
      </c>
      <c r="P26" s="44"/>
      <c r="Q26" s="44"/>
      <c r="R26" s="44"/>
      <c r="S26" s="23"/>
      <c r="T26" s="23"/>
    </row>
    <row r="27" spans="1:20" ht="20.25" customHeight="1">
      <c r="A27" s="16"/>
      <c r="B27" s="23" t="s">
        <v>25</v>
      </c>
      <c r="C27" s="24">
        <f>C28</f>
        <v>2.06</v>
      </c>
      <c r="D27" s="46">
        <f>D28</f>
        <v>2678000</v>
      </c>
      <c r="E27" s="11">
        <f>E28</f>
        <v>0</v>
      </c>
      <c r="F27" s="9"/>
      <c r="G27" s="11">
        <f>G28</f>
        <v>0</v>
      </c>
      <c r="H27" s="13">
        <f>H28</f>
        <v>0</v>
      </c>
      <c r="I27" s="13"/>
      <c r="J27" s="46">
        <f aca="true" t="shared" si="12" ref="J27:O27">J28</f>
        <v>80340</v>
      </c>
      <c r="K27" s="46">
        <f t="shared" si="12"/>
        <v>468649.99999999994</v>
      </c>
      <c r="L27" s="46">
        <f t="shared" si="12"/>
        <v>548990</v>
      </c>
      <c r="M27" s="46">
        <f t="shared" si="12"/>
        <v>40170</v>
      </c>
      <c r="N27" s="46">
        <f t="shared" si="12"/>
        <v>214240</v>
      </c>
      <c r="O27" s="46">
        <f t="shared" si="12"/>
        <v>254410</v>
      </c>
      <c r="P27" s="46"/>
      <c r="Q27" s="46"/>
      <c r="R27" s="46"/>
      <c r="S27" s="23"/>
      <c r="T27" s="23"/>
    </row>
    <row r="28" spans="1:20" ht="20.25" customHeight="1">
      <c r="A28" s="16">
        <v>15</v>
      </c>
      <c r="B28" s="18" t="s">
        <v>121</v>
      </c>
      <c r="C28" s="22">
        <v>2.06</v>
      </c>
      <c r="D28" s="44">
        <f>C28*I28</f>
        <v>2678000</v>
      </c>
      <c r="E28" s="12"/>
      <c r="F28" s="9"/>
      <c r="G28" s="22"/>
      <c r="H28" s="45"/>
      <c r="I28" s="45">
        <v>1300000</v>
      </c>
      <c r="J28" s="44">
        <f>(D28+F28+H28)*3%</f>
        <v>80340</v>
      </c>
      <c r="K28" s="44">
        <f>(D28+F28+H28)*17.5%</f>
        <v>468649.99999999994</v>
      </c>
      <c r="L28" s="44">
        <f>J28+K28</f>
        <v>548990</v>
      </c>
      <c r="M28" s="44">
        <f>(D28+F28+H28)*1.5%</f>
        <v>40170</v>
      </c>
      <c r="N28" s="44">
        <f>(D28+F28+H28)*8%</f>
        <v>214240</v>
      </c>
      <c r="O28" s="44">
        <f>M28+N28</f>
        <v>254410</v>
      </c>
      <c r="P28" s="44"/>
      <c r="Q28" s="44"/>
      <c r="R28" s="44"/>
      <c r="S28" s="23"/>
      <c r="T28" s="23"/>
    </row>
    <row r="29" spans="1:20" ht="20.25" customHeight="1">
      <c r="A29" s="16"/>
      <c r="B29" s="23" t="s">
        <v>3</v>
      </c>
      <c r="C29" s="24">
        <f>C30</f>
        <v>1.86</v>
      </c>
      <c r="D29" s="46">
        <f>D30</f>
        <v>2139000</v>
      </c>
      <c r="E29" s="11">
        <f>E30</f>
        <v>0</v>
      </c>
      <c r="F29" s="9"/>
      <c r="G29" s="11">
        <f>G30</f>
        <v>0.15</v>
      </c>
      <c r="H29" s="13">
        <f>H30</f>
        <v>172500</v>
      </c>
      <c r="I29" s="13"/>
      <c r="J29" s="46">
        <f aca="true" t="shared" si="13" ref="J29:O29">J30</f>
        <v>69345</v>
      </c>
      <c r="K29" s="46">
        <f t="shared" si="13"/>
        <v>404512.5</v>
      </c>
      <c r="L29" s="46">
        <f t="shared" si="13"/>
        <v>473857.5</v>
      </c>
      <c r="M29" s="46">
        <f t="shared" si="13"/>
        <v>34672.5</v>
      </c>
      <c r="N29" s="46">
        <f t="shared" si="13"/>
        <v>184920</v>
      </c>
      <c r="O29" s="46">
        <f t="shared" si="13"/>
        <v>219592.5</v>
      </c>
      <c r="P29" s="46"/>
      <c r="Q29" s="46"/>
      <c r="R29" s="46"/>
      <c r="S29" s="23"/>
      <c r="T29" s="23"/>
    </row>
    <row r="30" spans="1:20" ht="20.25" customHeight="1">
      <c r="A30" s="16">
        <v>16</v>
      </c>
      <c r="B30" s="18" t="s">
        <v>144</v>
      </c>
      <c r="C30" s="22">
        <v>1.86</v>
      </c>
      <c r="D30" s="44">
        <f>(C30*1150000)</f>
        <v>2139000</v>
      </c>
      <c r="E30" s="12"/>
      <c r="F30" s="9"/>
      <c r="G30" s="22">
        <v>0.15</v>
      </c>
      <c r="H30" s="45">
        <f>(G30*1150000)</f>
        <v>172500</v>
      </c>
      <c r="I30" s="45">
        <v>1300000</v>
      </c>
      <c r="J30" s="44">
        <f>(D30+F30+H30)*3%</f>
        <v>69345</v>
      </c>
      <c r="K30" s="44">
        <f>(D30+F30+H30)*17.5%</f>
        <v>404512.5</v>
      </c>
      <c r="L30" s="44">
        <f>J30+K30</f>
        <v>473857.5</v>
      </c>
      <c r="M30" s="44">
        <f>(D30+F30+H30)*1.5%</f>
        <v>34672.5</v>
      </c>
      <c r="N30" s="44">
        <f>(D30+F30+H30)*8%</f>
        <v>184920</v>
      </c>
      <c r="O30" s="44">
        <f>M30+N30</f>
        <v>219592.5</v>
      </c>
      <c r="P30" s="44"/>
      <c r="Q30" s="44"/>
      <c r="R30" s="44"/>
      <c r="S30" s="23"/>
      <c r="T30" s="23"/>
    </row>
    <row r="31" spans="1:19" ht="15.75">
      <c r="A31" s="16"/>
      <c r="B31" s="23" t="s">
        <v>4</v>
      </c>
      <c r="C31" s="24">
        <f>C32</f>
        <v>2.25</v>
      </c>
      <c r="D31" s="46">
        <f>D32</f>
        <v>2925000</v>
      </c>
      <c r="E31" s="13">
        <f>E32</f>
        <v>0</v>
      </c>
      <c r="F31" s="9"/>
      <c r="G31" s="11">
        <f>G32</f>
        <v>0</v>
      </c>
      <c r="H31" s="13">
        <f>H32</f>
        <v>0</v>
      </c>
      <c r="I31" s="13"/>
      <c r="J31" s="46">
        <f aca="true" t="shared" si="14" ref="J31:O31">J32</f>
        <v>87750</v>
      </c>
      <c r="K31" s="46">
        <f t="shared" si="14"/>
        <v>511874.99999999994</v>
      </c>
      <c r="L31" s="46">
        <f t="shared" si="14"/>
        <v>599625</v>
      </c>
      <c r="M31" s="46">
        <f t="shared" si="14"/>
        <v>43875</v>
      </c>
      <c r="N31" s="46">
        <f t="shared" si="14"/>
        <v>234000</v>
      </c>
      <c r="O31" s="46">
        <f t="shared" si="14"/>
        <v>277875</v>
      </c>
      <c r="P31" s="46"/>
      <c r="Q31" s="46"/>
      <c r="R31" s="46"/>
      <c r="S31" s="46"/>
    </row>
    <row r="32" spans="1:19" ht="15.75">
      <c r="A32" s="16">
        <v>17</v>
      </c>
      <c r="B32" s="18" t="s">
        <v>122</v>
      </c>
      <c r="C32" s="22">
        <v>2.25</v>
      </c>
      <c r="D32" s="44">
        <f>C32*I32</f>
        <v>2925000</v>
      </c>
      <c r="E32" s="12"/>
      <c r="F32" s="9"/>
      <c r="G32" s="22"/>
      <c r="H32" s="45">
        <f>(G32*1150000)</f>
        <v>0</v>
      </c>
      <c r="I32" s="45">
        <v>1300000</v>
      </c>
      <c r="J32" s="44">
        <f>(D32+F32+H32)*3%</f>
        <v>87750</v>
      </c>
      <c r="K32" s="44">
        <f>(D32+F32+H32)*17.5%</f>
        <v>511874.99999999994</v>
      </c>
      <c r="L32" s="44">
        <f>J32+K32</f>
        <v>599625</v>
      </c>
      <c r="M32" s="44">
        <f>(D32+F32+H32)*1.5%</f>
        <v>43875</v>
      </c>
      <c r="N32" s="44">
        <f>(D32+F32+H32)*8%</f>
        <v>234000</v>
      </c>
      <c r="O32" s="44">
        <f>M32+N32</f>
        <v>277875</v>
      </c>
      <c r="P32" s="44"/>
      <c r="Q32" s="44"/>
      <c r="R32" s="44"/>
      <c r="S32" s="44"/>
    </row>
    <row r="33" spans="1:20" ht="20.25" customHeight="1">
      <c r="A33" s="16"/>
      <c r="B33" s="23" t="s">
        <v>5</v>
      </c>
      <c r="C33" s="24">
        <f>C34</f>
        <v>1.86</v>
      </c>
      <c r="D33" s="46">
        <f>D34</f>
        <v>2418000</v>
      </c>
      <c r="E33" s="13">
        <f>E34</f>
        <v>0</v>
      </c>
      <c r="F33" s="9"/>
      <c r="G33" s="11">
        <f>G34</f>
        <v>0.15</v>
      </c>
      <c r="H33" s="13">
        <f>H34</f>
        <v>172500</v>
      </c>
      <c r="I33" s="13"/>
      <c r="J33" s="42">
        <f aca="true" t="shared" si="15" ref="J33:O33">J34</f>
        <v>77715</v>
      </c>
      <c r="K33" s="42">
        <f t="shared" si="15"/>
        <v>453337.5</v>
      </c>
      <c r="L33" s="42">
        <f t="shared" si="15"/>
        <v>531052.5</v>
      </c>
      <c r="M33" s="42">
        <f t="shared" si="15"/>
        <v>38857.5</v>
      </c>
      <c r="N33" s="42">
        <f t="shared" si="15"/>
        <v>207240</v>
      </c>
      <c r="O33" s="42">
        <f t="shared" si="15"/>
        <v>246097.5</v>
      </c>
      <c r="P33" s="42"/>
      <c r="Q33" s="42"/>
      <c r="R33" s="42"/>
      <c r="S33" s="23"/>
      <c r="T33" s="23"/>
    </row>
    <row r="34" spans="1:20" ht="20.25" customHeight="1">
      <c r="A34" s="16">
        <v>18</v>
      </c>
      <c r="B34" s="18" t="s">
        <v>220</v>
      </c>
      <c r="C34" s="22">
        <v>1.86</v>
      </c>
      <c r="D34" s="44">
        <f>C34*I34</f>
        <v>2418000</v>
      </c>
      <c r="E34" s="10"/>
      <c r="F34" s="9"/>
      <c r="G34" s="22">
        <v>0.15</v>
      </c>
      <c r="H34" s="45">
        <f>(G34*1150000)</f>
        <v>172500</v>
      </c>
      <c r="I34" s="45">
        <v>1300000</v>
      </c>
      <c r="J34" s="44">
        <f>(D34+F34+H34)*3%</f>
        <v>77715</v>
      </c>
      <c r="K34" s="44">
        <f>(D34+F34+H34)*17.5%</f>
        <v>453337.5</v>
      </c>
      <c r="L34" s="44">
        <f>J34+K34</f>
        <v>531052.5</v>
      </c>
      <c r="M34" s="44">
        <f>(D34+F34+H34)*1.5%</f>
        <v>38857.5</v>
      </c>
      <c r="N34" s="44">
        <f>(D34+F34+H34)*8%</f>
        <v>207240</v>
      </c>
      <c r="O34" s="44">
        <f>M34+N34</f>
        <v>246097.5</v>
      </c>
      <c r="P34" s="44"/>
      <c r="Q34" s="44"/>
      <c r="R34" s="44"/>
      <c r="S34" s="23"/>
      <c r="T34" s="23"/>
    </row>
    <row r="35" spans="1:20" ht="20.25" customHeight="1">
      <c r="A35" s="16"/>
      <c r="B35" s="23" t="s">
        <v>6</v>
      </c>
      <c r="C35" s="25">
        <f>C36</f>
        <v>2.25</v>
      </c>
      <c r="D35" s="46">
        <f>D36</f>
        <v>2925000</v>
      </c>
      <c r="E35" s="13">
        <f>E36</f>
        <v>0</v>
      </c>
      <c r="F35" s="9"/>
      <c r="G35" s="13">
        <f>G36</f>
        <v>0</v>
      </c>
      <c r="H35" s="46"/>
      <c r="I35" s="46"/>
      <c r="J35" s="46">
        <f aca="true" t="shared" si="16" ref="J35:O35">J36</f>
        <v>87750</v>
      </c>
      <c r="K35" s="46">
        <f t="shared" si="16"/>
        <v>511874.99999999994</v>
      </c>
      <c r="L35" s="46">
        <f t="shared" si="16"/>
        <v>599625</v>
      </c>
      <c r="M35" s="46">
        <f t="shared" si="16"/>
        <v>43875</v>
      </c>
      <c r="N35" s="46">
        <f t="shared" si="16"/>
        <v>234000</v>
      </c>
      <c r="O35" s="46">
        <f t="shared" si="16"/>
        <v>277875</v>
      </c>
      <c r="P35" s="46"/>
      <c r="Q35" s="46"/>
      <c r="R35" s="46"/>
      <c r="S35" s="23"/>
      <c r="T35" s="23"/>
    </row>
    <row r="36" spans="1:20" ht="20.25" customHeight="1">
      <c r="A36" s="16">
        <v>19</v>
      </c>
      <c r="B36" s="18" t="s">
        <v>124</v>
      </c>
      <c r="C36" s="22">
        <v>2.25</v>
      </c>
      <c r="D36" s="44">
        <f>C36*I36</f>
        <v>2925000</v>
      </c>
      <c r="E36" s="10"/>
      <c r="F36" s="9"/>
      <c r="G36" s="10"/>
      <c r="H36" s="46"/>
      <c r="I36" s="45">
        <v>1300000</v>
      </c>
      <c r="J36" s="44">
        <f>(D36+F36+H36)*3%</f>
        <v>87750</v>
      </c>
      <c r="K36" s="44">
        <f>(D36+F36+H36)*17.5%</f>
        <v>511874.99999999994</v>
      </c>
      <c r="L36" s="44">
        <f>J36+K36</f>
        <v>599625</v>
      </c>
      <c r="M36" s="44">
        <f>(D36+F36+H36)*1.5%</f>
        <v>43875</v>
      </c>
      <c r="N36" s="44">
        <f>(D36+F36+H36)*8%</f>
        <v>234000</v>
      </c>
      <c r="O36" s="44">
        <f>M36+N36</f>
        <v>277875</v>
      </c>
      <c r="P36" s="44"/>
      <c r="Q36" s="44"/>
      <c r="R36" s="44"/>
      <c r="S36" s="23"/>
      <c r="T36" s="23"/>
    </row>
    <row r="37" spans="1:20" ht="20.25" customHeight="1">
      <c r="A37" s="16"/>
      <c r="B37" s="23" t="s">
        <v>2</v>
      </c>
      <c r="C37" s="25">
        <f aca="true" t="shared" si="17" ref="C37:H37">C38+C39</f>
        <v>2.86</v>
      </c>
      <c r="D37" s="46">
        <f t="shared" si="17"/>
        <v>3718000</v>
      </c>
      <c r="E37" s="11">
        <f t="shared" si="17"/>
        <v>0</v>
      </c>
      <c r="F37" s="46">
        <f t="shared" si="17"/>
        <v>0</v>
      </c>
      <c r="G37" s="11">
        <f t="shared" si="17"/>
        <v>0.3</v>
      </c>
      <c r="H37" s="13">
        <f t="shared" si="17"/>
        <v>390000</v>
      </c>
      <c r="I37" s="13"/>
      <c r="J37" s="46">
        <f aca="true" t="shared" si="18" ref="J37:O37">J38+J39</f>
        <v>123240</v>
      </c>
      <c r="K37" s="46">
        <f t="shared" si="18"/>
        <v>718900</v>
      </c>
      <c r="L37" s="46">
        <f t="shared" si="18"/>
        <v>842140</v>
      </c>
      <c r="M37" s="46">
        <f t="shared" si="18"/>
        <v>61620</v>
      </c>
      <c r="N37" s="46">
        <f t="shared" si="18"/>
        <v>328640</v>
      </c>
      <c r="O37" s="46">
        <f t="shared" si="18"/>
        <v>390260</v>
      </c>
      <c r="P37" s="46"/>
      <c r="Q37" s="46"/>
      <c r="R37" s="46"/>
      <c r="S37" s="23"/>
      <c r="T37" s="23"/>
    </row>
    <row r="38" spans="1:19" ht="20.25" customHeight="1">
      <c r="A38" s="16"/>
      <c r="B38" s="18"/>
      <c r="C38" s="22"/>
      <c r="D38" s="44">
        <f>C38*I38</f>
        <v>0</v>
      </c>
      <c r="E38" s="12"/>
      <c r="F38" s="45">
        <f>E38*I38</f>
        <v>0</v>
      </c>
      <c r="G38" s="22"/>
      <c r="H38" s="45"/>
      <c r="I38" s="45"/>
      <c r="J38" s="44">
        <f>(D38+F38+H38)*3%</f>
        <v>0</v>
      </c>
      <c r="K38" s="44">
        <f>(D38+F38+H38)*18%</f>
        <v>0</v>
      </c>
      <c r="L38" s="44">
        <f>J38+K38</f>
        <v>0</v>
      </c>
      <c r="M38" s="44">
        <f>(D38+F38+H38)*1.5%</f>
        <v>0</v>
      </c>
      <c r="N38" s="44">
        <f>(D38+F38+H38)*8%</f>
        <v>0</v>
      </c>
      <c r="O38" s="44">
        <f>M38+N38</f>
        <v>0</v>
      </c>
      <c r="P38" s="44"/>
      <c r="Q38" s="44"/>
      <c r="R38" s="44"/>
      <c r="S38" s="44"/>
    </row>
    <row r="39" spans="1:19" ht="20.25" customHeight="1">
      <c r="A39" s="16">
        <v>20</v>
      </c>
      <c r="B39" s="18" t="s">
        <v>145</v>
      </c>
      <c r="C39" s="22">
        <v>2.86</v>
      </c>
      <c r="D39" s="44">
        <f>C39*I39</f>
        <v>3718000</v>
      </c>
      <c r="E39" s="12"/>
      <c r="F39" s="9"/>
      <c r="G39" s="22">
        <v>0.3</v>
      </c>
      <c r="H39" s="45">
        <f>G39*I39</f>
        <v>390000</v>
      </c>
      <c r="I39" s="45">
        <v>1300000</v>
      </c>
      <c r="J39" s="44">
        <f>(D39+F39+H39)*3%</f>
        <v>123240</v>
      </c>
      <c r="K39" s="44">
        <f>(D39+F39+H39)*17.5%</f>
        <v>718900</v>
      </c>
      <c r="L39" s="44">
        <f>J39+K39</f>
        <v>842140</v>
      </c>
      <c r="M39" s="44">
        <f>(D39+F39+H39)*1.5%</f>
        <v>61620</v>
      </c>
      <c r="N39" s="44">
        <f>(D39+F39+H39)*8%</f>
        <v>328640</v>
      </c>
      <c r="O39" s="44">
        <f>M39+N39</f>
        <v>390260</v>
      </c>
      <c r="P39" s="44"/>
      <c r="Q39" s="44"/>
      <c r="R39" s="44"/>
      <c r="S39" s="44"/>
    </row>
    <row r="40" spans="1:20" ht="20.25" customHeight="1">
      <c r="A40" s="23"/>
      <c r="B40" s="23" t="s">
        <v>12</v>
      </c>
      <c r="C40" s="27">
        <f>C41</f>
        <v>2.45</v>
      </c>
      <c r="D40" s="46">
        <f>D41</f>
        <v>3185000</v>
      </c>
      <c r="E40" s="29">
        <f>E41</f>
        <v>0</v>
      </c>
      <c r="F40" s="29">
        <f>F41</f>
        <v>0</v>
      </c>
      <c r="G40" s="29">
        <f>G41</f>
        <v>0</v>
      </c>
      <c r="H40" s="46"/>
      <c r="I40" s="46"/>
      <c r="J40" s="46">
        <f aca="true" t="shared" si="19" ref="J40:O40">J41</f>
        <v>95550</v>
      </c>
      <c r="K40" s="46">
        <f t="shared" si="19"/>
        <v>557375</v>
      </c>
      <c r="L40" s="46">
        <f t="shared" si="19"/>
        <v>652925</v>
      </c>
      <c r="M40" s="46">
        <f t="shared" si="19"/>
        <v>47775</v>
      </c>
      <c r="N40" s="46">
        <f t="shared" si="19"/>
        <v>254800</v>
      </c>
      <c r="O40" s="46">
        <f t="shared" si="19"/>
        <v>302575</v>
      </c>
      <c r="P40" s="46"/>
      <c r="Q40" s="46"/>
      <c r="R40" s="46"/>
      <c r="S40" s="23"/>
      <c r="T40" s="23"/>
    </row>
    <row r="41" spans="1:20" ht="20.25" customHeight="1">
      <c r="A41" s="16">
        <v>21</v>
      </c>
      <c r="B41" s="18" t="s">
        <v>125</v>
      </c>
      <c r="C41" s="26">
        <v>2.45</v>
      </c>
      <c r="D41" s="44">
        <f>C41*I41</f>
        <v>3185000</v>
      </c>
      <c r="E41" s="14"/>
      <c r="F41" s="9"/>
      <c r="G41" s="14"/>
      <c r="H41" s="46"/>
      <c r="I41" s="45">
        <v>1300000</v>
      </c>
      <c r="J41" s="44">
        <f>(D41+F41+H41)*3%</f>
        <v>95550</v>
      </c>
      <c r="K41" s="44">
        <f>(D41+F41+H41)*17.5%</f>
        <v>557375</v>
      </c>
      <c r="L41" s="44">
        <f>J41+K41</f>
        <v>652925</v>
      </c>
      <c r="M41" s="44">
        <f>(D41+F41+H41)*1.5%</f>
        <v>47775</v>
      </c>
      <c r="N41" s="44">
        <f>(D41+F41+H41)*8%</f>
        <v>254800</v>
      </c>
      <c r="O41" s="44">
        <f>M41+N41</f>
        <v>302575</v>
      </c>
      <c r="P41" s="44"/>
      <c r="Q41" s="44"/>
      <c r="R41" s="44"/>
      <c r="S41" s="23"/>
      <c r="T41" s="23"/>
    </row>
    <row r="42" spans="1:20" ht="20.25" customHeight="1">
      <c r="A42" s="16"/>
      <c r="B42" s="23" t="s">
        <v>13</v>
      </c>
      <c r="C42" s="8">
        <f>C8+C26+C27+C29+C31+C33+C35+C37+C40</f>
        <v>49</v>
      </c>
      <c r="D42" s="28">
        <f>D8+D25+D27+D29+D31+D33+D35+D37+D40</f>
        <v>63142000</v>
      </c>
      <c r="E42" s="8">
        <f>E8+E25+E27+E29+E31+E33+E35+E37+E40</f>
        <v>0.19</v>
      </c>
      <c r="F42" s="28">
        <f>F8+F25+F27+F29+F31+F33+F35+F37+F40</f>
        <v>247000</v>
      </c>
      <c r="G42" s="8">
        <f>G8+G25+G27+G29+G31+G33+G35+G37+G40</f>
        <v>1.4999999999999998</v>
      </c>
      <c r="H42" s="28">
        <f>H8+H25+H27+H29+H31+H33+H35+H37+H40</f>
        <v>1905000</v>
      </c>
      <c r="I42" s="28"/>
      <c r="J42" s="28">
        <f aca="true" t="shared" si="20" ref="J42:O42">J8+J25+J27+J29+J31+J33+J35+J37+J40</f>
        <v>1958820</v>
      </c>
      <c r="K42" s="28">
        <f t="shared" si="20"/>
        <v>11426450</v>
      </c>
      <c r="L42" s="28">
        <f t="shared" si="20"/>
        <v>13385270</v>
      </c>
      <c r="M42" s="28">
        <f t="shared" si="20"/>
        <v>979410</v>
      </c>
      <c r="N42" s="28">
        <f t="shared" si="20"/>
        <v>5223520</v>
      </c>
      <c r="O42" s="28">
        <f t="shared" si="20"/>
        <v>6202930</v>
      </c>
      <c r="P42" s="28"/>
      <c r="Q42" s="28"/>
      <c r="R42" s="28"/>
      <c r="S42" s="18"/>
      <c r="T42" s="18"/>
    </row>
    <row r="43" spans="3:15" ht="15.75">
      <c r="C43" s="47">
        <f>C8+C37+D45</f>
        <v>49.279999999999994</v>
      </c>
      <c r="D43" s="36">
        <f>C41+C36+C34+C32+C30</f>
        <v>10.67</v>
      </c>
      <c r="E43" s="48"/>
      <c r="J43" s="156"/>
      <c r="K43" s="156"/>
      <c r="L43" s="52"/>
      <c r="M43" s="156"/>
      <c r="N43" s="156"/>
      <c r="O43" s="58"/>
    </row>
    <row r="44" spans="1:15" ht="15.75">
      <c r="A44" s="158"/>
      <c r="B44" s="158"/>
      <c r="C44" s="8">
        <f>C8+C25+C37+D43+C27</f>
        <v>49</v>
      </c>
      <c r="D44" s="36">
        <f>0.7*6</f>
        <v>4.199999999999999</v>
      </c>
      <c r="E44" s="36"/>
      <c r="F44" s="5"/>
      <c r="G44" s="5"/>
      <c r="H44" s="5"/>
      <c r="I44" s="5"/>
      <c r="J44" s="158"/>
      <c r="K44" s="158"/>
      <c r="L44" s="53"/>
      <c r="M44" s="158"/>
      <c r="N44" s="158"/>
      <c r="O44" s="59"/>
    </row>
    <row r="45" spans="4:6" ht="17.25">
      <c r="D45" s="49">
        <f>SUM(D43:D44)</f>
        <v>14.87</v>
      </c>
      <c r="E45" s="36">
        <f>13.68</f>
        <v>13.68</v>
      </c>
      <c r="F45" s="38">
        <f>D45-E45</f>
        <v>1.1899999999999995</v>
      </c>
    </row>
    <row r="47" ht="15.75">
      <c r="D47" s="6">
        <v>2.76</v>
      </c>
    </row>
    <row r="48" ht="15.75">
      <c r="D48" s="6">
        <v>2.56</v>
      </c>
    </row>
    <row r="49" ht="15.75">
      <c r="D49" s="6">
        <v>2.56</v>
      </c>
    </row>
    <row r="50" ht="15.75">
      <c r="D50" s="6">
        <v>2.45</v>
      </c>
    </row>
    <row r="51" ht="15.75">
      <c r="D51" s="6">
        <v>3.35</v>
      </c>
    </row>
    <row r="53" ht="15.75">
      <c r="D53" s="50">
        <f>SUM(D47:D52)</f>
        <v>13.680000000000001</v>
      </c>
    </row>
  </sheetData>
  <sheetProtection/>
  <mergeCells count="24">
    <mergeCell ref="A1:T1"/>
    <mergeCell ref="P4:P6"/>
    <mergeCell ref="Q4:Q6"/>
    <mergeCell ref="R4:R6"/>
    <mergeCell ref="S4:S6"/>
    <mergeCell ref="A2:T2"/>
    <mergeCell ref="A4:A6"/>
    <mergeCell ref="B4:B6"/>
    <mergeCell ref="C4:D4"/>
    <mergeCell ref="E4:F4"/>
    <mergeCell ref="T4:T6"/>
    <mergeCell ref="C5:C6"/>
    <mergeCell ref="M4:O5"/>
    <mergeCell ref="D5:D6"/>
    <mergeCell ref="E5:F5"/>
    <mergeCell ref="G5:H5"/>
    <mergeCell ref="J4:L5"/>
    <mergeCell ref="I4:I6"/>
    <mergeCell ref="M43:N43"/>
    <mergeCell ref="G4:H4"/>
    <mergeCell ref="A44:B44"/>
    <mergeCell ref="J44:K44"/>
    <mergeCell ref="M44:N44"/>
    <mergeCell ref="J43:K43"/>
  </mergeCells>
  <printOptions horizontalCentered="1"/>
  <pageMargins left="0.25" right="0.25" top="0.5" bottom="0.5" header="0.39" footer="0.5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53"/>
  <sheetViews>
    <sheetView view="pageBreakPreview" zoomScale="90" zoomScaleNormal="90" zoomScaleSheetLayoutView="90" zoomScalePageLayoutView="0" workbookViewId="0" topLeftCell="A26">
      <selection activeCell="K42" sqref="K42"/>
    </sheetView>
  </sheetViews>
  <sheetFormatPr defaultColWidth="9.00390625" defaultRowHeight="15.75"/>
  <cols>
    <col min="1" max="1" width="3.50390625" style="6" customWidth="1"/>
    <col min="2" max="2" width="15.875" style="6" customWidth="1"/>
    <col min="3" max="3" width="8.00390625" style="6" customWidth="1"/>
    <col min="4" max="4" width="10.875" style="6" customWidth="1"/>
    <col min="5" max="5" width="6.00390625" style="7" customWidth="1"/>
    <col min="6" max="6" width="8.75390625" style="6" customWidth="1"/>
    <col min="7" max="7" width="6.625" style="7" customWidth="1"/>
    <col min="8" max="9" width="9.625" style="6" customWidth="1"/>
    <col min="10" max="10" width="11.125" style="6" customWidth="1"/>
    <col min="11" max="11" width="11.375" style="6" customWidth="1"/>
    <col min="12" max="12" width="11.125" style="51" customWidth="1"/>
    <col min="13" max="13" width="11.00390625" style="6" customWidth="1"/>
    <col min="14" max="14" width="11.50390625" style="6" customWidth="1"/>
    <col min="15" max="15" width="11.00390625" style="56" customWidth="1"/>
    <col min="16" max="16" width="10.875" style="6" customWidth="1"/>
    <col min="17" max="17" width="8.50390625" style="6" customWidth="1"/>
    <col min="18" max="19" width="11.00390625" style="6" customWidth="1"/>
    <col min="20" max="20" width="10.375" style="6" customWidth="1"/>
    <col min="21" max="21" width="24.00390625" style="72" customWidth="1"/>
    <col min="22" max="16384" width="9.00390625" style="6" customWidth="1"/>
  </cols>
  <sheetData>
    <row r="1" spans="1:22" ht="21.75" customHeight="1">
      <c r="A1" s="158" t="s">
        <v>106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71"/>
      <c r="V1" s="37"/>
    </row>
    <row r="2" spans="1:20" ht="16.5" customHeight="1">
      <c r="A2" s="158" t="s">
        <v>212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15" ht="15.75">
      <c r="A3" s="6" t="s">
        <v>53</v>
      </c>
      <c r="D3" s="38"/>
      <c r="E3" s="39"/>
      <c r="F3" s="40"/>
      <c r="L3" s="6"/>
      <c r="O3" s="6"/>
    </row>
    <row r="4" spans="1:20" ht="15.75" customHeight="1">
      <c r="A4" s="171" t="s">
        <v>14</v>
      </c>
      <c r="B4" s="171" t="s">
        <v>24</v>
      </c>
      <c r="C4" s="174" t="s">
        <v>7</v>
      </c>
      <c r="D4" s="175"/>
      <c r="E4" s="157"/>
      <c r="F4" s="157"/>
      <c r="G4" s="157"/>
      <c r="H4" s="157"/>
      <c r="I4" s="159" t="s">
        <v>31</v>
      </c>
      <c r="J4" s="162" t="s">
        <v>22</v>
      </c>
      <c r="K4" s="163"/>
      <c r="L4" s="164"/>
      <c r="M4" s="162" t="s">
        <v>21</v>
      </c>
      <c r="N4" s="163"/>
      <c r="O4" s="164"/>
      <c r="P4" s="159" t="s">
        <v>29</v>
      </c>
      <c r="Q4" s="159" t="s">
        <v>30</v>
      </c>
      <c r="R4" s="159" t="s">
        <v>32</v>
      </c>
      <c r="S4" s="159" t="s">
        <v>33</v>
      </c>
      <c r="T4" s="159" t="s">
        <v>16</v>
      </c>
    </row>
    <row r="5" spans="1:20" ht="30" customHeight="1">
      <c r="A5" s="172"/>
      <c r="B5" s="172"/>
      <c r="C5" s="159" t="s">
        <v>9</v>
      </c>
      <c r="D5" s="159" t="s">
        <v>8</v>
      </c>
      <c r="E5" s="168" t="s">
        <v>23</v>
      </c>
      <c r="F5" s="169"/>
      <c r="G5" s="168" t="s">
        <v>10</v>
      </c>
      <c r="H5" s="170"/>
      <c r="I5" s="160"/>
      <c r="J5" s="165"/>
      <c r="K5" s="166"/>
      <c r="L5" s="167"/>
      <c r="M5" s="165"/>
      <c r="N5" s="166"/>
      <c r="O5" s="167"/>
      <c r="P5" s="160"/>
      <c r="Q5" s="160"/>
      <c r="R5" s="160"/>
      <c r="S5" s="160"/>
      <c r="T5" s="160"/>
    </row>
    <row r="6" spans="1:20" ht="79.5" customHeight="1">
      <c r="A6" s="173"/>
      <c r="B6" s="173"/>
      <c r="C6" s="161"/>
      <c r="D6" s="161"/>
      <c r="E6" s="2" t="s">
        <v>11</v>
      </c>
      <c r="F6" s="2" t="s">
        <v>8</v>
      </c>
      <c r="G6" s="2" t="s">
        <v>11</v>
      </c>
      <c r="H6" s="30" t="s">
        <v>8</v>
      </c>
      <c r="I6" s="161"/>
      <c r="J6" s="3" t="s">
        <v>17</v>
      </c>
      <c r="K6" s="3" t="s">
        <v>222</v>
      </c>
      <c r="L6" s="4" t="s">
        <v>13</v>
      </c>
      <c r="M6" s="3" t="s">
        <v>18</v>
      </c>
      <c r="N6" s="3" t="s">
        <v>19</v>
      </c>
      <c r="O6" s="57" t="s">
        <v>13</v>
      </c>
      <c r="P6" s="160"/>
      <c r="Q6" s="161"/>
      <c r="R6" s="161"/>
      <c r="S6" s="161"/>
      <c r="T6" s="161"/>
    </row>
    <row r="7" spans="1:20" ht="18.75" customHeight="1">
      <c r="A7" s="54" t="s">
        <v>34</v>
      </c>
      <c r="B7" s="54" t="s">
        <v>35</v>
      </c>
      <c r="C7" s="54" t="s">
        <v>36</v>
      </c>
      <c r="D7" s="54" t="s">
        <v>37</v>
      </c>
      <c r="E7" s="54" t="s">
        <v>38</v>
      </c>
      <c r="F7" s="54" t="s">
        <v>39</v>
      </c>
      <c r="G7" s="54" t="s">
        <v>40</v>
      </c>
      <c r="H7" s="54" t="s">
        <v>41</v>
      </c>
      <c r="I7" s="54" t="s">
        <v>42</v>
      </c>
      <c r="J7" s="55" t="s">
        <v>43</v>
      </c>
      <c r="K7" s="55" t="s">
        <v>44</v>
      </c>
      <c r="L7" s="55" t="s">
        <v>45</v>
      </c>
      <c r="M7" s="55" t="s">
        <v>46</v>
      </c>
      <c r="N7" s="55" t="s">
        <v>47</v>
      </c>
      <c r="O7" s="55" t="s">
        <v>48</v>
      </c>
      <c r="P7" s="55" t="s">
        <v>15</v>
      </c>
      <c r="Q7" s="54" t="s">
        <v>49</v>
      </c>
      <c r="R7" s="54" t="s">
        <v>50</v>
      </c>
      <c r="S7" s="54" t="s">
        <v>51</v>
      </c>
      <c r="T7" s="54" t="s">
        <v>52</v>
      </c>
    </row>
    <row r="8" spans="1:21" ht="15.75">
      <c r="A8" s="16"/>
      <c r="B8" s="17" t="s">
        <v>0</v>
      </c>
      <c r="C8" s="41">
        <f aca="true" t="shared" si="0" ref="C8:H8">SUM(C9:C24)</f>
        <v>32.089999999999996</v>
      </c>
      <c r="D8" s="42">
        <f t="shared" si="0"/>
        <v>44605100</v>
      </c>
      <c r="E8" s="64">
        <f t="shared" si="0"/>
        <v>0</v>
      </c>
      <c r="F8" s="42">
        <f t="shared" si="0"/>
        <v>0</v>
      </c>
      <c r="G8" s="15">
        <f t="shared" si="0"/>
        <v>0.65</v>
      </c>
      <c r="H8" s="9">
        <f t="shared" si="0"/>
        <v>903500</v>
      </c>
      <c r="I8" s="9"/>
      <c r="J8" s="42">
        <f aca="true" t="shared" si="1" ref="J8:O8">SUM(J9:J24)</f>
        <v>1365258</v>
      </c>
      <c r="K8" s="42">
        <f t="shared" si="1"/>
        <v>7964005</v>
      </c>
      <c r="L8" s="42">
        <f t="shared" si="1"/>
        <v>9329263</v>
      </c>
      <c r="M8" s="42">
        <f t="shared" si="1"/>
        <v>682629</v>
      </c>
      <c r="N8" s="42">
        <f t="shared" si="1"/>
        <v>3640688</v>
      </c>
      <c r="O8" s="42">
        <f t="shared" si="1"/>
        <v>4323317</v>
      </c>
      <c r="P8" s="42"/>
      <c r="Q8" s="42"/>
      <c r="R8" s="42"/>
      <c r="S8" s="43"/>
      <c r="T8" s="16"/>
      <c r="U8" s="72">
        <v>7666829</v>
      </c>
    </row>
    <row r="9" spans="1:21" ht="15.75">
      <c r="A9" s="21" t="s">
        <v>34</v>
      </c>
      <c r="B9" s="1" t="s">
        <v>108</v>
      </c>
      <c r="C9" s="22">
        <v>2.46</v>
      </c>
      <c r="D9" s="44">
        <f>C9*I9</f>
        <v>3419400</v>
      </c>
      <c r="E9" s="78"/>
      <c r="F9" s="45"/>
      <c r="G9" s="22">
        <v>0.25</v>
      </c>
      <c r="H9" s="45">
        <f>G9*I9</f>
        <v>347500</v>
      </c>
      <c r="I9" s="45">
        <v>1390000</v>
      </c>
      <c r="J9" s="44">
        <f aca="true" t="shared" si="2" ref="J9:J22">(D9+F9+H9)*3%</f>
        <v>113007</v>
      </c>
      <c r="K9" s="44">
        <f>(D9+F9+H9)*17.5%</f>
        <v>659207.5</v>
      </c>
      <c r="L9" s="44">
        <f aca="true" t="shared" si="3" ref="L9:L22">J9+K9</f>
        <v>772214.5</v>
      </c>
      <c r="M9" s="44">
        <f aca="true" t="shared" si="4" ref="M9:M22">(D9+F9+H9)*1.5%</f>
        <v>56503.5</v>
      </c>
      <c r="N9" s="44">
        <f aca="true" t="shared" si="5" ref="N9:N22">(D9+F9+H9)*8%</f>
        <v>301352</v>
      </c>
      <c r="O9" s="44">
        <f aca="true" t="shared" si="6" ref="O9:O22">M9+N9</f>
        <v>357855.5</v>
      </c>
      <c r="P9" s="44"/>
      <c r="Q9" s="44"/>
      <c r="R9" s="44"/>
      <c r="S9" s="16"/>
      <c r="T9" s="16"/>
      <c r="U9" s="72">
        <v>8450100</v>
      </c>
    </row>
    <row r="10" spans="1:21" ht="15.75">
      <c r="A10" s="21" t="s">
        <v>35</v>
      </c>
      <c r="B10" s="18" t="s">
        <v>109</v>
      </c>
      <c r="C10" s="22">
        <v>2.46</v>
      </c>
      <c r="D10" s="44">
        <f aca="true" t="shared" si="7" ref="D10:D22">C10*I10</f>
        <v>3419400</v>
      </c>
      <c r="E10" s="12"/>
      <c r="F10" s="45">
        <f aca="true" t="shared" si="8" ref="F10:F22">(E10*1150000)</f>
        <v>0</v>
      </c>
      <c r="G10" s="22">
        <v>0.2</v>
      </c>
      <c r="H10" s="45">
        <f>G10*I10</f>
        <v>278000</v>
      </c>
      <c r="I10" s="45">
        <v>1390000</v>
      </c>
      <c r="J10" s="44">
        <f t="shared" si="2"/>
        <v>110922</v>
      </c>
      <c r="K10" s="44">
        <f aca="true" t="shared" si="9" ref="K10:K22">(D10+F10+H10)*17.5%</f>
        <v>647045</v>
      </c>
      <c r="L10" s="44">
        <f t="shared" si="3"/>
        <v>757967</v>
      </c>
      <c r="M10" s="44">
        <f t="shared" si="4"/>
        <v>55461</v>
      </c>
      <c r="N10" s="44">
        <f t="shared" si="5"/>
        <v>295792</v>
      </c>
      <c r="O10" s="44">
        <f t="shared" si="6"/>
        <v>351253</v>
      </c>
      <c r="P10" s="44"/>
      <c r="Q10" s="44"/>
      <c r="R10" s="44"/>
      <c r="S10" s="18"/>
      <c r="T10" s="18"/>
      <c r="U10" s="72">
        <v>16795000</v>
      </c>
    </row>
    <row r="11" spans="1:20" ht="15.75">
      <c r="A11" s="21"/>
      <c r="B11" s="18"/>
      <c r="C11" s="22"/>
      <c r="D11" s="44">
        <f t="shared" si="7"/>
        <v>0</v>
      </c>
      <c r="E11" s="22"/>
      <c r="F11" s="45">
        <f t="shared" si="8"/>
        <v>0</v>
      </c>
      <c r="G11" s="22"/>
      <c r="H11" s="45">
        <f>G11*I11</f>
        <v>0</v>
      </c>
      <c r="I11" s="45"/>
      <c r="J11" s="44">
        <f t="shared" si="2"/>
        <v>0</v>
      </c>
      <c r="K11" s="44">
        <f t="shared" si="9"/>
        <v>0</v>
      </c>
      <c r="L11" s="44">
        <f t="shared" si="3"/>
        <v>0</v>
      </c>
      <c r="M11" s="44">
        <f t="shared" si="4"/>
        <v>0</v>
      </c>
      <c r="N11" s="44">
        <f t="shared" si="5"/>
        <v>0</v>
      </c>
      <c r="O11" s="44">
        <f t="shared" si="6"/>
        <v>0</v>
      </c>
      <c r="P11" s="44"/>
      <c r="Q11" s="44"/>
      <c r="R11" s="44"/>
      <c r="S11" s="18"/>
      <c r="T11" s="18"/>
    </row>
    <row r="12" spans="1:21" ht="15.75">
      <c r="A12" s="21">
        <v>3</v>
      </c>
      <c r="B12" s="18" t="s">
        <v>111</v>
      </c>
      <c r="C12" s="22">
        <v>2.34</v>
      </c>
      <c r="D12" s="44">
        <f t="shared" si="7"/>
        <v>3252600</v>
      </c>
      <c r="E12" s="12"/>
      <c r="F12" s="45">
        <f t="shared" si="8"/>
        <v>0</v>
      </c>
      <c r="G12" s="22">
        <v>0.2</v>
      </c>
      <c r="H12" s="45">
        <f>G12*I12</f>
        <v>278000</v>
      </c>
      <c r="I12" s="45">
        <v>1390000</v>
      </c>
      <c r="J12" s="44">
        <f t="shared" si="2"/>
        <v>105918</v>
      </c>
      <c r="K12" s="44">
        <f t="shared" si="9"/>
        <v>617855</v>
      </c>
      <c r="L12" s="44">
        <f t="shared" si="3"/>
        <v>723773</v>
      </c>
      <c r="M12" s="44">
        <f t="shared" si="4"/>
        <v>52959</v>
      </c>
      <c r="N12" s="44">
        <f t="shared" si="5"/>
        <v>282448</v>
      </c>
      <c r="O12" s="44">
        <f t="shared" si="6"/>
        <v>335407</v>
      </c>
      <c r="P12" s="44"/>
      <c r="Q12" s="44"/>
      <c r="R12" s="44"/>
      <c r="S12" s="18"/>
      <c r="T12" s="18"/>
      <c r="U12" s="72">
        <f>SUM(U8:U11)</f>
        <v>32911929</v>
      </c>
    </row>
    <row r="13" spans="1:20" ht="15.75">
      <c r="A13" s="21">
        <v>4</v>
      </c>
      <c r="B13" s="18" t="s">
        <v>112</v>
      </c>
      <c r="C13" s="22">
        <v>3</v>
      </c>
      <c r="D13" s="44">
        <f t="shared" si="7"/>
        <v>4170000</v>
      </c>
      <c r="E13" s="12"/>
      <c r="F13" s="45">
        <f t="shared" si="8"/>
        <v>0</v>
      </c>
      <c r="G13" s="22"/>
      <c r="H13" s="45">
        <f>G13*I13</f>
        <v>0</v>
      </c>
      <c r="I13" s="45">
        <v>1390000</v>
      </c>
      <c r="J13" s="44">
        <f t="shared" si="2"/>
        <v>125100</v>
      </c>
      <c r="K13" s="44">
        <f t="shared" si="9"/>
        <v>729750</v>
      </c>
      <c r="L13" s="44">
        <f t="shared" si="3"/>
        <v>854850</v>
      </c>
      <c r="M13" s="44">
        <f t="shared" si="4"/>
        <v>62550</v>
      </c>
      <c r="N13" s="44">
        <f t="shared" si="5"/>
        <v>333600</v>
      </c>
      <c r="O13" s="44">
        <f t="shared" si="6"/>
        <v>396150</v>
      </c>
      <c r="P13" s="44"/>
      <c r="Q13" s="44"/>
      <c r="R13" s="44"/>
      <c r="S13" s="18"/>
      <c r="T13" s="18"/>
    </row>
    <row r="14" spans="1:20" ht="15.75">
      <c r="A14" s="21">
        <v>5</v>
      </c>
      <c r="B14" s="18" t="s">
        <v>113</v>
      </c>
      <c r="C14" s="22">
        <v>2.26</v>
      </c>
      <c r="D14" s="44">
        <f t="shared" si="7"/>
        <v>3141399.9999999995</v>
      </c>
      <c r="E14" s="12"/>
      <c r="F14" s="45">
        <f t="shared" si="8"/>
        <v>0</v>
      </c>
      <c r="G14" s="22"/>
      <c r="H14" s="45">
        <f aca="true" t="shared" si="10" ref="H14:H22">(G14*1150000)</f>
        <v>0</v>
      </c>
      <c r="I14" s="45">
        <v>1390000</v>
      </c>
      <c r="J14" s="44">
        <f t="shared" si="2"/>
        <v>94241.99999999999</v>
      </c>
      <c r="K14" s="44">
        <f t="shared" si="9"/>
        <v>549744.9999999999</v>
      </c>
      <c r="L14" s="44">
        <f t="shared" si="3"/>
        <v>643986.9999999999</v>
      </c>
      <c r="M14" s="44">
        <f t="shared" si="4"/>
        <v>47120.99999999999</v>
      </c>
      <c r="N14" s="44">
        <f t="shared" si="5"/>
        <v>251311.99999999997</v>
      </c>
      <c r="O14" s="44">
        <f t="shared" si="6"/>
        <v>298432.99999999994</v>
      </c>
      <c r="P14" s="44"/>
      <c r="Q14" s="44"/>
      <c r="R14" s="44"/>
      <c r="S14" s="18"/>
      <c r="T14" s="18"/>
    </row>
    <row r="15" spans="1:20" ht="15.75">
      <c r="A15" s="21">
        <v>6</v>
      </c>
      <c r="B15" s="18" t="s">
        <v>114</v>
      </c>
      <c r="C15" s="22">
        <v>2.86</v>
      </c>
      <c r="D15" s="44">
        <f t="shared" si="7"/>
        <v>3975400</v>
      </c>
      <c r="E15" s="12"/>
      <c r="F15" s="45">
        <f t="shared" si="8"/>
        <v>0</v>
      </c>
      <c r="G15" s="22"/>
      <c r="H15" s="45">
        <f t="shared" si="10"/>
        <v>0</v>
      </c>
      <c r="I15" s="45">
        <v>1390000</v>
      </c>
      <c r="J15" s="44">
        <f t="shared" si="2"/>
        <v>119262</v>
      </c>
      <c r="K15" s="44">
        <f t="shared" si="9"/>
        <v>695695</v>
      </c>
      <c r="L15" s="44">
        <f t="shared" si="3"/>
        <v>814957</v>
      </c>
      <c r="M15" s="44">
        <f t="shared" si="4"/>
        <v>59631</v>
      </c>
      <c r="N15" s="44">
        <f t="shared" si="5"/>
        <v>318032</v>
      </c>
      <c r="O15" s="44">
        <f t="shared" si="6"/>
        <v>377663</v>
      </c>
      <c r="P15" s="44"/>
      <c r="Q15" s="44"/>
      <c r="R15" s="44"/>
      <c r="S15" s="18"/>
      <c r="T15" s="18"/>
    </row>
    <row r="16" spans="1:20" ht="15.75">
      <c r="A16" s="21">
        <v>7</v>
      </c>
      <c r="B16" s="18" t="s">
        <v>115</v>
      </c>
      <c r="C16" s="22">
        <v>2.46</v>
      </c>
      <c r="D16" s="44">
        <f t="shared" si="7"/>
        <v>3419400</v>
      </c>
      <c r="E16" s="12"/>
      <c r="F16" s="45">
        <f t="shared" si="8"/>
        <v>0</v>
      </c>
      <c r="G16" s="22"/>
      <c r="H16" s="45">
        <f t="shared" si="10"/>
        <v>0</v>
      </c>
      <c r="I16" s="45">
        <v>1390000</v>
      </c>
      <c r="J16" s="44">
        <f t="shared" si="2"/>
        <v>102582</v>
      </c>
      <c r="K16" s="44">
        <f t="shared" si="9"/>
        <v>598395</v>
      </c>
      <c r="L16" s="44">
        <f t="shared" si="3"/>
        <v>700977</v>
      </c>
      <c r="M16" s="44">
        <f t="shared" si="4"/>
        <v>51291</v>
      </c>
      <c r="N16" s="44">
        <f t="shared" si="5"/>
        <v>273552</v>
      </c>
      <c r="O16" s="44">
        <f t="shared" si="6"/>
        <v>324843</v>
      </c>
      <c r="P16" s="44"/>
      <c r="Q16" s="44"/>
      <c r="R16" s="44"/>
      <c r="S16" s="18"/>
      <c r="T16" s="18"/>
    </row>
    <row r="17" spans="1:20" ht="15.75">
      <c r="A17" s="21">
        <v>8</v>
      </c>
      <c r="B17" s="18" t="s">
        <v>147</v>
      </c>
      <c r="C17" s="22">
        <v>2.34</v>
      </c>
      <c r="D17" s="44">
        <f t="shared" si="7"/>
        <v>3252600</v>
      </c>
      <c r="E17" s="12"/>
      <c r="F17" s="45">
        <f t="shared" si="8"/>
        <v>0</v>
      </c>
      <c r="G17" s="22"/>
      <c r="H17" s="45">
        <f t="shared" si="10"/>
        <v>0</v>
      </c>
      <c r="I17" s="45">
        <v>1390000</v>
      </c>
      <c r="J17" s="44">
        <f t="shared" si="2"/>
        <v>97578</v>
      </c>
      <c r="K17" s="44">
        <f t="shared" si="9"/>
        <v>569205</v>
      </c>
      <c r="L17" s="44">
        <f t="shared" si="3"/>
        <v>666783</v>
      </c>
      <c r="M17" s="44">
        <f t="shared" si="4"/>
        <v>48789</v>
      </c>
      <c r="N17" s="44">
        <f t="shared" si="5"/>
        <v>260208</v>
      </c>
      <c r="O17" s="44">
        <f t="shared" si="6"/>
        <v>308997</v>
      </c>
      <c r="P17" s="44"/>
      <c r="Q17" s="44"/>
      <c r="R17" s="44"/>
      <c r="S17" s="18"/>
      <c r="T17" s="18"/>
    </row>
    <row r="18" spans="1:20" ht="15.75">
      <c r="A18" s="21">
        <v>9</v>
      </c>
      <c r="B18" s="18" t="s">
        <v>116</v>
      </c>
      <c r="C18" s="22">
        <v>2.26</v>
      </c>
      <c r="D18" s="44">
        <f t="shared" si="7"/>
        <v>3141399.9999999995</v>
      </c>
      <c r="E18" s="12"/>
      <c r="F18" s="45">
        <f t="shared" si="8"/>
        <v>0</v>
      </c>
      <c r="G18" s="22"/>
      <c r="H18" s="45">
        <f t="shared" si="10"/>
        <v>0</v>
      </c>
      <c r="I18" s="45">
        <v>1390000</v>
      </c>
      <c r="J18" s="44">
        <f t="shared" si="2"/>
        <v>94241.99999999999</v>
      </c>
      <c r="K18" s="44">
        <f t="shared" si="9"/>
        <v>549744.9999999999</v>
      </c>
      <c r="L18" s="44">
        <f t="shared" si="3"/>
        <v>643986.9999999999</v>
      </c>
      <c r="M18" s="44">
        <f t="shared" si="4"/>
        <v>47120.99999999999</v>
      </c>
      <c r="N18" s="44">
        <f t="shared" si="5"/>
        <v>251311.99999999997</v>
      </c>
      <c r="O18" s="44">
        <f t="shared" si="6"/>
        <v>298432.99999999994</v>
      </c>
      <c r="P18" s="44"/>
      <c r="Q18" s="44"/>
      <c r="R18" s="44"/>
      <c r="S18" s="18"/>
      <c r="T18" s="18"/>
    </row>
    <row r="19" spans="1:20" ht="15.75">
      <c r="A19" s="21">
        <v>10</v>
      </c>
      <c r="B19" s="18" t="s">
        <v>117</v>
      </c>
      <c r="C19" s="22">
        <v>2.46</v>
      </c>
      <c r="D19" s="44">
        <f t="shared" si="7"/>
        <v>3419400</v>
      </c>
      <c r="E19" s="12"/>
      <c r="F19" s="45">
        <f t="shared" si="8"/>
        <v>0</v>
      </c>
      <c r="G19" s="22"/>
      <c r="H19" s="45">
        <f t="shared" si="10"/>
        <v>0</v>
      </c>
      <c r="I19" s="45">
        <v>1390000</v>
      </c>
      <c r="J19" s="44">
        <f t="shared" si="2"/>
        <v>102582</v>
      </c>
      <c r="K19" s="44">
        <f t="shared" si="9"/>
        <v>598395</v>
      </c>
      <c r="L19" s="44">
        <f t="shared" si="3"/>
        <v>700977</v>
      </c>
      <c r="M19" s="44">
        <f t="shared" si="4"/>
        <v>51291</v>
      </c>
      <c r="N19" s="44">
        <f t="shared" si="5"/>
        <v>273552</v>
      </c>
      <c r="O19" s="44">
        <f t="shared" si="6"/>
        <v>324843</v>
      </c>
      <c r="P19" s="44"/>
      <c r="Q19" s="44"/>
      <c r="R19" s="44"/>
      <c r="S19" s="18"/>
      <c r="T19" s="18"/>
    </row>
    <row r="20" spans="1:20" ht="15.75">
      <c r="A20" s="21">
        <v>11</v>
      </c>
      <c r="B20" s="18" t="s">
        <v>118</v>
      </c>
      <c r="C20" s="22">
        <v>2.46</v>
      </c>
      <c r="D20" s="44">
        <f t="shared" si="7"/>
        <v>3419400</v>
      </c>
      <c r="E20" s="12"/>
      <c r="F20" s="45">
        <f t="shared" si="8"/>
        <v>0</v>
      </c>
      <c r="G20" s="22"/>
      <c r="H20" s="45">
        <f t="shared" si="10"/>
        <v>0</v>
      </c>
      <c r="I20" s="45">
        <v>1390000</v>
      </c>
      <c r="J20" s="44">
        <f t="shared" si="2"/>
        <v>102582</v>
      </c>
      <c r="K20" s="44">
        <f t="shared" si="9"/>
        <v>598395</v>
      </c>
      <c r="L20" s="44">
        <f t="shared" si="3"/>
        <v>700977</v>
      </c>
      <c r="M20" s="44">
        <f t="shared" si="4"/>
        <v>51291</v>
      </c>
      <c r="N20" s="44">
        <f t="shared" si="5"/>
        <v>273552</v>
      </c>
      <c r="O20" s="44">
        <f t="shared" si="6"/>
        <v>324843</v>
      </c>
      <c r="P20" s="44"/>
      <c r="Q20" s="44"/>
      <c r="R20" s="44"/>
      <c r="S20" s="18"/>
      <c r="T20" s="18"/>
    </row>
    <row r="21" spans="1:20" ht="15.75">
      <c r="A21" s="21">
        <v>12</v>
      </c>
      <c r="B21" s="18" t="s">
        <v>119</v>
      </c>
      <c r="C21" s="22">
        <v>2.06</v>
      </c>
      <c r="D21" s="44">
        <f t="shared" si="7"/>
        <v>2863400</v>
      </c>
      <c r="E21" s="12"/>
      <c r="F21" s="45">
        <f t="shared" si="8"/>
        <v>0</v>
      </c>
      <c r="G21" s="22"/>
      <c r="H21" s="45">
        <f t="shared" si="10"/>
        <v>0</v>
      </c>
      <c r="I21" s="45">
        <v>1390000</v>
      </c>
      <c r="J21" s="44">
        <f t="shared" si="2"/>
        <v>85902</v>
      </c>
      <c r="K21" s="44">
        <f t="shared" si="9"/>
        <v>501094.99999999994</v>
      </c>
      <c r="L21" s="44">
        <f t="shared" si="3"/>
        <v>586997</v>
      </c>
      <c r="M21" s="44">
        <f t="shared" si="4"/>
        <v>42951</v>
      </c>
      <c r="N21" s="44">
        <f t="shared" si="5"/>
        <v>229072</v>
      </c>
      <c r="O21" s="44">
        <f t="shared" si="6"/>
        <v>272023</v>
      </c>
      <c r="P21" s="44"/>
      <c r="Q21" s="44"/>
      <c r="R21" s="44"/>
      <c r="S21" s="18"/>
      <c r="T21" s="18"/>
    </row>
    <row r="22" spans="1:20" ht="15.75">
      <c r="A22" s="21">
        <v>13</v>
      </c>
      <c r="B22" s="18" t="s">
        <v>120</v>
      </c>
      <c r="C22" s="22">
        <v>2.67</v>
      </c>
      <c r="D22" s="44">
        <f t="shared" si="7"/>
        <v>3711300</v>
      </c>
      <c r="E22" s="12"/>
      <c r="F22" s="45">
        <f t="shared" si="8"/>
        <v>0</v>
      </c>
      <c r="G22" s="22"/>
      <c r="H22" s="45">
        <f t="shared" si="10"/>
        <v>0</v>
      </c>
      <c r="I22" s="45">
        <v>1390000</v>
      </c>
      <c r="J22" s="44">
        <f t="shared" si="2"/>
        <v>111339</v>
      </c>
      <c r="K22" s="44">
        <f t="shared" si="9"/>
        <v>649477.5</v>
      </c>
      <c r="L22" s="44">
        <f t="shared" si="3"/>
        <v>760816.5</v>
      </c>
      <c r="M22" s="44">
        <f t="shared" si="4"/>
        <v>55669.5</v>
      </c>
      <c r="N22" s="44">
        <f t="shared" si="5"/>
        <v>296904</v>
      </c>
      <c r="O22" s="44">
        <f t="shared" si="6"/>
        <v>352573.5</v>
      </c>
      <c r="P22" s="44"/>
      <c r="Q22" s="44"/>
      <c r="R22" s="44"/>
      <c r="S22" s="18"/>
      <c r="T22" s="18"/>
    </row>
    <row r="23" spans="1:20" ht="15.75">
      <c r="A23" s="21"/>
      <c r="B23" s="18"/>
      <c r="C23" s="22"/>
      <c r="D23" s="44"/>
      <c r="E23" s="12"/>
      <c r="F23" s="45"/>
      <c r="G23" s="22"/>
      <c r="H23" s="45"/>
      <c r="I23" s="45"/>
      <c r="J23" s="44"/>
      <c r="K23" s="44"/>
      <c r="L23" s="44"/>
      <c r="M23" s="44"/>
      <c r="N23" s="44"/>
      <c r="O23" s="44"/>
      <c r="P23" s="44"/>
      <c r="Q23" s="44"/>
      <c r="R23" s="44"/>
      <c r="S23" s="18"/>
      <c r="T23" s="18"/>
    </row>
    <row r="24" spans="1:20" ht="15.75">
      <c r="A24" s="21"/>
      <c r="B24" s="18"/>
      <c r="C24" s="22"/>
      <c r="D24" s="44"/>
      <c r="E24" s="12"/>
      <c r="F24" s="45"/>
      <c r="G24" s="22"/>
      <c r="H24" s="45"/>
      <c r="I24" s="45"/>
      <c r="J24" s="44"/>
      <c r="K24" s="44"/>
      <c r="L24" s="44"/>
      <c r="M24" s="44"/>
      <c r="N24" s="44"/>
      <c r="O24" s="44"/>
      <c r="P24" s="44"/>
      <c r="Q24" s="44"/>
      <c r="R24" s="44"/>
      <c r="S24" s="18"/>
      <c r="T24" s="18"/>
    </row>
    <row r="25" spans="1:20" ht="20.25" customHeight="1">
      <c r="A25" s="16"/>
      <c r="B25" s="19" t="s">
        <v>1</v>
      </c>
      <c r="C25" s="20">
        <v>1.86</v>
      </c>
      <c r="D25" s="46">
        <f>D26</f>
        <v>2139000</v>
      </c>
      <c r="E25" s="9">
        <f>E26</f>
        <v>0</v>
      </c>
      <c r="F25" s="9">
        <f>F26</f>
        <v>0</v>
      </c>
      <c r="G25" s="9">
        <f>G26</f>
        <v>0</v>
      </c>
      <c r="H25" s="46"/>
      <c r="I25" s="45">
        <v>1390000</v>
      </c>
      <c r="J25" s="46">
        <f aca="true" t="shared" si="11" ref="J25:O25">J26</f>
        <v>64170</v>
      </c>
      <c r="K25" s="46">
        <f t="shared" si="11"/>
        <v>374325</v>
      </c>
      <c r="L25" s="46">
        <f t="shared" si="11"/>
        <v>438495</v>
      </c>
      <c r="M25" s="46">
        <f t="shared" si="11"/>
        <v>32085</v>
      </c>
      <c r="N25" s="46">
        <f t="shared" si="11"/>
        <v>171120</v>
      </c>
      <c r="O25" s="46">
        <f t="shared" si="11"/>
        <v>203205</v>
      </c>
      <c r="P25" s="46"/>
      <c r="Q25" s="46"/>
      <c r="R25" s="46"/>
      <c r="S25" s="23"/>
      <c r="T25" s="23"/>
    </row>
    <row r="26" spans="1:20" ht="20.25" customHeight="1">
      <c r="A26" s="21">
        <v>14</v>
      </c>
      <c r="B26" s="1" t="s">
        <v>143</v>
      </c>
      <c r="C26" s="22">
        <v>1.86</v>
      </c>
      <c r="D26" s="44">
        <f>(C26*1150000)</f>
        <v>2139000</v>
      </c>
      <c r="E26" s="10"/>
      <c r="F26" s="9"/>
      <c r="G26" s="10"/>
      <c r="H26" s="46"/>
      <c r="I26" s="45">
        <v>1390000</v>
      </c>
      <c r="J26" s="44">
        <f>(D26+F26+H26)*3%</f>
        <v>64170</v>
      </c>
      <c r="K26" s="44">
        <f>(D26+F26+H26)*17.5%</f>
        <v>374325</v>
      </c>
      <c r="L26" s="44">
        <f>J26+K26</f>
        <v>438495</v>
      </c>
      <c r="M26" s="44">
        <f>(D26+F26+H26)*1.5%</f>
        <v>32085</v>
      </c>
      <c r="N26" s="44">
        <f>(D26+F26+H26)*8%</f>
        <v>171120</v>
      </c>
      <c r="O26" s="44">
        <f>M26+N26</f>
        <v>203205</v>
      </c>
      <c r="P26" s="44"/>
      <c r="Q26" s="44"/>
      <c r="R26" s="44"/>
      <c r="S26" s="23"/>
      <c r="T26" s="23"/>
    </row>
    <row r="27" spans="1:20" ht="20.25" customHeight="1">
      <c r="A27" s="16"/>
      <c r="B27" s="23" t="s">
        <v>25</v>
      </c>
      <c r="C27" s="24">
        <f>C28</f>
        <v>2.06</v>
      </c>
      <c r="D27" s="46">
        <f>D28</f>
        <v>2863400</v>
      </c>
      <c r="E27" s="11">
        <f>E28</f>
        <v>0</v>
      </c>
      <c r="F27" s="9"/>
      <c r="G27" s="11">
        <f>G28</f>
        <v>0</v>
      </c>
      <c r="H27" s="13">
        <f>H28</f>
        <v>0</v>
      </c>
      <c r="I27" s="45">
        <v>1390000</v>
      </c>
      <c r="J27" s="46">
        <f aca="true" t="shared" si="12" ref="J27:O27">J28</f>
        <v>85902</v>
      </c>
      <c r="K27" s="46">
        <f t="shared" si="12"/>
        <v>501094.99999999994</v>
      </c>
      <c r="L27" s="46">
        <f t="shared" si="12"/>
        <v>586997</v>
      </c>
      <c r="M27" s="46">
        <f t="shared" si="12"/>
        <v>42951</v>
      </c>
      <c r="N27" s="46">
        <f t="shared" si="12"/>
        <v>229072</v>
      </c>
      <c r="O27" s="46">
        <f t="shared" si="12"/>
        <v>272023</v>
      </c>
      <c r="P27" s="46"/>
      <c r="Q27" s="46"/>
      <c r="R27" s="46"/>
      <c r="S27" s="23"/>
      <c r="T27" s="23"/>
    </row>
    <row r="28" spans="1:20" ht="20.25" customHeight="1">
      <c r="A28" s="16">
        <v>15</v>
      </c>
      <c r="B28" s="18" t="s">
        <v>121</v>
      </c>
      <c r="C28" s="22">
        <v>2.06</v>
      </c>
      <c r="D28" s="44">
        <f>C28*I28</f>
        <v>2863400</v>
      </c>
      <c r="E28" s="12"/>
      <c r="F28" s="9"/>
      <c r="G28" s="22"/>
      <c r="H28" s="45"/>
      <c r="I28" s="45">
        <v>1390000</v>
      </c>
      <c r="J28" s="44">
        <f>(D28+F28+H28)*3%</f>
        <v>85902</v>
      </c>
      <c r="K28" s="44">
        <f>(D28+F28+H28)*17.5%</f>
        <v>501094.99999999994</v>
      </c>
      <c r="L28" s="44">
        <f>J28+K28</f>
        <v>586997</v>
      </c>
      <c r="M28" s="44">
        <f>(D28+F28+H28)*1.5%</f>
        <v>42951</v>
      </c>
      <c r="N28" s="44">
        <f>(D28+F28+H28)*8%</f>
        <v>229072</v>
      </c>
      <c r="O28" s="44">
        <f>M28+N28</f>
        <v>272023</v>
      </c>
      <c r="P28" s="44"/>
      <c r="Q28" s="44"/>
      <c r="R28" s="44"/>
      <c r="S28" s="23"/>
      <c r="T28" s="23"/>
    </row>
    <row r="29" spans="1:20" ht="20.25" customHeight="1">
      <c r="A29" s="16"/>
      <c r="B29" s="23" t="s">
        <v>3</v>
      </c>
      <c r="C29" s="24">
        <f>C30</f>
        <v>2.06</v>
      </c>
      <c r="D29" s="46">
        <f>D30</f>
        <v>2863400</v>
      </c>
      <c r="E29" s="11">
        <f>E30</f>
        <v>0</v>
      </c>
      <c r="F29" s="9"/>
      <c r="G29" s="11">
        <f>G30</f>
        <v>0.15</v>
      </c>
      <c r="H29" s="13">
        <f>H30</f>
        <v>172500</v>
      </c>
      <c r="I29" s="45">
        <v>1390000</v>
      </c>
      <c r="J29" s="46">
        <f aca="true" t="shared" si="13" ref="J29:O29">J30</f>
        <v>91077</v>
      </c>
      <c r="K29" s="46">
        <f t="shared" si="13"/>
        <v>531282.5</v>
      </c>
      <c r="L29" s="46">
        <f t="shared" si="13"/>
        <v>622359.5</v>
      </c>
      <c r="M29" s="46">
        <f t="shared" si="13"/>
        <v>45538.5</v>
      </c>
      <c r="N29" s="46">
        <f t="shared" si="13"/>
        <v>242872</v>
      </c>
      <c r="O29" s="46">
        <f t="shared" si="13"/>
        <v>288410.5</v>
      </c>
      <c r="P29" s="46"/>
      <c r="Q29" s="46"/>
      <c r="R29" s="46"/>
      <c r="S29" s="23"/>
      <c r="T29" s="23"/>
    </row>
    <row r="30" spans="1:20" ht="20.25" customHeight="1">
      <c r="A30" s="16">
        <v>16</v>
      </c>
      <c r="B30" s="18" t="s">
        <v>144</v>
      </c>
      <c r="C30" s="22">
        <v>2.06</v>
      </c>
      <c r="D30" s="44">
        <f>C30*I30</f>
        <v>2863400</v>
      </c>
      <c r="E30" s="12"/>
      <c r="F30" s="9"/>
      <c r="G30" s="22">
        <v>0.15</v>
      </c>
      <c r="H30" s="45">
        <f>(G30*1150000)</f>
        <v>172500</v>
      </c>
      <c r="I30" s="45">
        <v>1390000</v>
      </c>
      <c r="J30" s="44">
        <f>(D30+F30+H30)*3%</f>
        <v>91077</v>
      </c>
      <c r="K30" s="44">
        <f>(D30+F30+H30)*17.5%</f>
        <v>531282.5</v>
      </c>
      <c r="L30" s="44">
        <f>J30+K30</f>
        <v>622359.5</v>
      </c>
      <c r="M30" s="44">
        <f>(D30+F30+H30)*1.5%</f>
        <v>45538.5</v>
      </c>
      <c r="N30" s="44">
        <f>(D30+F30+H30)*8%</f>
        <v>242872</v>
      </c>
      <c r="O30" s="44">
        <f>M30+N30</f>
        <v>288410.5</v>
      </c>
      <c r="P30" s="44"/>
      <c r="Q30" s="44"/>
      <c r="R30" s="44"/>
      <c r="S30" s="23"/>
      <c r="T30" s="23"/>
    </row>
    <row r="31" spans="1:20" ht="15.75">
      <c r="A31" s="16"/>
      <c r="B31" s="23" t="s">
        <v>4</v>
      </c>
      <c r="C31" s="24">
        <f>C32</f>
        <v>2.25</v>
      </c>
      <c r="D31" s="46">
        <f>D32</f>
        <v>3127500</v>
      </c>
      <c r="E31" s="13">
        <f>E32</f>
        <v>0</v>
      </c>
      <c r="F31" s="9"/>
      <c r="G31" s="11">
        <f>G32</f>
        <v>0</v>
      </c>
      <c r="H31" s="13">
        <f>H32</f>
        <v>0</v>
      </c>
      <c r="I31" s="45">
        <v>1390000</v>
      </c>
      <c r="J31" s="46">
        <f aca="true" t="shared" si="14" ref="J31:O31">J32</f>
        <v>93825</v>
      </c>
      <c r="K31" s="46">
        <f t="shared" si="14"/>
        <v>547312.5</v>
      </c>
      <c r="L31" s="46">
        <f t="shared" si="14"/>
        <v>641137.5</v>
      </c>
      <c r="M31" s="46">
        <f t="shared" si="14"/>
        <v>46912.5</v>
      </c>
      <c r="N31" s="46">
        <f t="shared" si="14"/>
        <v>250200</v>
      </c>
      <c r="O31" s="46">
        <f t="shared" si="14"/>
        <v>297112.5</v>
      </c>
      <c r="P31" s="46"/>
      <c r="Q31" s="46"/>
      <c r="R31" s="46"/>
      <c r="S31" s="46"/>
      <c r="T31" s="18"/>
    </row>
    <row r="32" spans="1:20" ht="15.75">
      <c r="A32" s="16">
        <v>17</v>
      </c>
      <c r="B32" s="18" t="s">
        <v>122</v>
      </c>
      <c r="C32" s="22">
        <v>2.25</v>
      </c>
      <c r="D32" s="44">
        <f>C32*I32</f>
        <v>3127500</v>
      </c>
      <c r="E32" s="12"/>
      <c r="F32" s="9"/>
      <c r="G32" s="22"/>
      <c r="H32" s="45">
        <f>(G32*1150000)</f>
        <v>0</v>
      </c>
      <c r="I32" s="45">
        <v>1390000</v>
      </c>
      <c r="J32" s="44">
        <f>(D32+F32+H32)*3%</f>
        <v>93825</v>
      </c>
      <c r="K32" s="44">
        <f>(D32+F32+H32)*17.5%</f>
        <v>547312.5</v>
      </c>
      <c r="L32" s="44">
        <f>J32+K32</f>
        <v>641137.5</v>
      </c>
      <c r="M32" s="44">
        <f>(D32+F32+H32)*1.5%</f>
        <v>46912.5</v>
      </c>
      <c r="N32" s="44">
        <f>(D32+F32+H32)*8%</f>
        <v>250200</v>
      </c>
      <c r="O32" s="44">
        <f>M32+N32</f>
        <v>297112.5</v>
      </c>
      <c r="P32" s="44"/>
      <c r="Q32" s="44"/>
      <c r="R32" s="44"/>
      <c r="S32" s="44"/>
      <c r="T32" s="18"/>
    </row>
    <row r="33" spans="1:20" ht="20.25" customHeight="1">
      <c r="A33" s="16"/>
      <c r="B33" s="23" t="s">
        <v>5</v>
      </c>
      <c r="C33" s="24">
        <f>C34</f>
        <v>1.86</v>
      </c>
      <c r="D33" s="46">
        <f>D34</f>
        <v>2585400</v>
      </c>
      <c r="E33" s="13">
        <f>E34</f>
        <v>0</v>
      </c>
      <c r="F33" s="9"/>
      <c r="G33" s="11">
        <f>G34</f>
        <v>0.15</v>
      </c>
      <c r="H33" s="13">
        <f>H34</f>
        <v>172500</v>
      </c>
      <c r="I33" s="45">
        <v>1390000</v>
      </c>
      <c r="J33" s="42">
        <f aca="true" t="shared" si="15" ref="J33:O33">J34</f>
        <v>82737</v>
      </c>
      <c r="K33" s="42">
        <f t="shared" si="15"/>
        <v>482632.49999999994</v>
      </c>
      <c r="L33" s="42">
        <f t="shared" si="15"/>
        <v>565369.5</v>
      </c>
      <c r="M33" s="42">
        <f t="shared" si="15"/>
        <v>41368.5</v>
      </c>
      <c r="N33" s="42">
        <f t="shared" si="15"/>
        <v>220632</v>
      </c>
      <c r="O33" s="42">
        <f t="shared" si="15"/>
        <v>262000.5</v>
      </c>
      <c r="P33" s="42"/>
      <c r="Q33" s="42"/>
      <c r="R33" s="42"/>
      <c r="S33" s="23"/>
      <c r="T33" s="23"/>
    </row>
    <row r="34" spans="1:20" ht="20.25" customHeight="1">
      <c r="A34" s="16">
        <v>18</v>
      </c>
      <c r="B34" s="18" t="s">
        <v>133</v>
      </c>
      <c r="C34" s="22">
        <v>1.86</v>
      </c>
      <c r="D34" s="44">
        <f>C34*I34</f>
        <v>2585400</v>
      </c>
      <c r="E34" s="10"/>
      <c r="F34" s="9"/>
      <c r="G34" s="22">
        <v>0.15</v>
      </c>
      <c r="H34" s="45">
        <f>(G34*1150000)</f>
        <v>172500</v>
      </c>
      <c r="I34" s="45">
        <v>1390000</v>
      </c>
      <c r="J34" s="44">
        <f>(D34+F34+H34)*3%</f>
        <v>82737</v>
      </c>
      <c r="K34" s="44">
        <f>(D34+F34+H34)*17.5%</f>
        <v>482632.49999999994</v>
      </c>
      <c r="L34" s="44">
        <f>J34+K34</f>
        <v>565369.5</v>
      </c>
      <c r="M34" s="44">
        <f>(D34+F34+H34)*1.5%</f>
        <v>41368.5</v>
      </c>
      <c r="N34" s="44">
        <f>(D34+F34+H34)*8%</f>
        <v>220632</v>
      </c>
      <c r="O34" s="44">
        <f>M34+N34</f>
        <v>262000.5</v>
      </c>
      <c r="P34" s="44"/>
      <c r="Q34" s="44"/>
      <c r="R34" s="44"/>
      <c r="S34" s="23"/>
      <c r="T34" s="23"/>
    </row>
    <row r="35" spans="1:20" ht="20.25" customHeight="1">
      <c r="A35" s="16"/>
      <c r="B35" s="23" t="s">
        <v>6</v>
      </c>
      <c r="C35" s="25">
        <f>C36</f>
        <v>2.25</v>
      </c>
      <c r="D35" s="46">
        <f>D36</f>
        <v>3127500</v>
      </c>
      <c r="E35" s="13">
        <f>E36</f>
        <v>0</v>
      </c>
      <c r="F35" s="9"/>
      <c r="G35" s="13">
        <f>G36</f>
        <v>0</v>
      </c>
      <c r="H35" s="46"/>
      <c r="I35" s="45">
        <v>1390000</v>
      </c>
      <c r="J35" s="46">
        <f aca="true" t="shared" si="16" ref="J35:O35">J36</f>
        <v>93825</v>
      </c>
      <c r="K35" s="46">
        <f t="shared" si="16"/>
        <v>547312.5</v>
      </c>
      <c r="L35" s="46">
        <f t="shared" si="16"/>
        <v>641137.5</v>
      </c>
      <c r="M35" s="46">
        <f t="shared" si="16"/>
        <v>46912.5</v>
      </c>
      <c r="N35" s="46">
        <f t="shared" si="16"/>
        <v>250200</v>
      </c>
      <c r="O35" s="46">
        <f t="shared" si="16"/>
        <v>297112.5</v>
      </c>
      <c r="P35" s="46"/>
      <c r="Q35" s="46"/>
      <c r="R35" s="46"/>
      <c r="S35" s="23"/>
      <c r="T35" s="23"/>
    </row>
    <row r="36" spans="1:20" ht="20.25" customHeight="1">
      <c r="A36" s="16">
        <v>19</v>
      </c>
      <c r="B36" s="18" t="s">
        <v>124</v>
      </c>
      <c r="C36" s="22">
        <v>2.25</v>
      </c>
      <c r="D36" s="44">
        <f>C36*I36</f>
        <v>3127500</v>
      </c>
      <c r="E36" s="10"/>
      <c r="F36" s="9"/>
      <c r="G36" s="10"/>
      <c r="H36" s="46"/>
      <c r="I36" s="45">
        <v>1390000</v>
      </c>
      <c r="J36" s="44">
        <f>(D36+F36+H36)*3%</f>
        <v>93825</v>
      </c>
      <c r="K36" s="44">
        <f>(D36+F36+H36)*17.5%</f>
        <v>547312.5</v>
      </c>
      <c r="L36" s="44">
        <f>J36+K36</f>
        <v>641137.5</v>
      </c>
      <c r="M36" s="44">
        <f>(D36+F36+H36)*1.5%</f>
        <v>46912.5</v>
      </c>
      <c r="N36" s="44">
        <f>(D36+F36+H36)*8%</f>
        <v>250200</v>
      </c>
      <c r="O36" s="44">
        <f>M36+N36</f>
        <v>297112.5</v>
      </c>
      <c r="P36" s="44"/>
      <c r="Q36" s="44"/>
      <c r="R36" s="44"/>
      <c r="S36" s="23"/>
      <c r="T36" s="23"/>
    </row>
    <row r="37" spans="1:20" ht="20.25" customHeight="1">
      <c r="A37" s="16"/>
      <c r="B37" s="23" t="s">
        <v>2</v>
      </c>
      <c r="C37" s="25">
        <f aca="true" t="shared" si="17" ref="C37:H37">C38+C39</f>
        <v>5.52</v>
      </c>
      <c r="D37" s="46">
        <f t="shared" si="17"/>
        <v>7672800</v>
      </c>
      <c r="E37" s="11">
        <f t="shared" si="17"/>
        <v>0</v>
      </c>
      <c r="F37" s="46">
        <f t="shared" si="17"/>
        <v>0</v>
      </c>
      <c r="G37" s="11">
        <f t="shared" si="17"/>
        <v>0.55</v>
      </c>
      <c r="H37" s="13">
        <f t="shared" si="17"/>
        <v>764500</v>
      </c>
      <c r="I37" s="45">
        <v>1390000</v>
      </c>
      <c r="J37" s="46">
        <f aca="true" t="shared" si="18" ref="J37:O37">J38+J39</f>
        <v>253119</v>
      </c>
      <c r="K37" s="46">
        <f t="shared" si="18"/>
        <v>1476527.5</v>
      </c>
      <c r="L37" s="46">
        <f t="shared" si="18"/>
        <v>1729646.5</v>
      </c>
      <c r="M37" s="46">
        <f t="shared" si="18"/>
        <v>126559.5</v>
      </c>
      <c r="N37" s="46">
        <f t="shared" si="18"/>
        <v>674984</v>
      </c>
      <c r="O37" s="46">
        <f t="shared" si="18"/>
        <v>801543.5</v>
      </c>
      <c r="P37" s="46"/>
      <c r="Q37" s="46"/>
      <c r="R37" s="46"/>
      <c r="S37" s="23"/>
      <c r="T37" s="23"/>
    </row>
    <row r="38" spans="1:20" ht="20.25" customHeight="1">
      <c r="A38" s="16">
        <v>20</v>
      </c>
      <c r="B38" s="18" t="s">
        <v>110</v>
      </c>
      <c r="C38" s="22">
        <v>2.66</v>
      </c>
      <c r="D38" s="44">
        <f>C38*I38</f>
        <v>3697400</v>
      </c>
      <c r="E38" s="12"/>
      <c r="F38" s="45"/>
      <c r="G38" s="22">
        <v>0.25</v>
      </c>
      <c r="H38" s="45">
        <f>G38*I38</f>
        <v>347500</v>
      </c>
      <c r="I38" s="45">
        <v>1390000</v>
      </c>
      <c r="J38" s="44">
        <f>(D38+F38+H38)*3%</f>
        <v>121347</v>
      </c>
      <c r="K38" s="44">
        <f>(D38+F38+H38)*17.5%</f>
        <v>707857.5</v>
      </c>
      <c r="L38" s="44">
        <f>J38+K38</f>
        <v>829204.5</v>
      </c>
      <c r="M38" s="44">
        <f>(D38+F38+H38)*1.5%</f>
        <v>60673.5</v>
      </c>
      <c r="N38" s="44">
        <f>(D38+F38+H38)*8%</f>
        <v>323592</v>
      </c>
      <c r="O38" s="44">
        <f>M38+N38</f>
        <v>384265.5</v>
      </c>
      <c r="P38" s="44"/>
      <c r="Q38" s="44"/>
      <c r="R38" s="44"/>
      <c r="S38" s="44"/>
      <c r="T38" s="18"/>
    </row>
    <row r="39" spans="1:20" ht="20.25" customHeight="1">
      <c r="A39" s="16">
        <v>21</v>
      </c>
      <c r="B39" s="18" t="s">
        <v>145</v>
      </c>
      <c r="C39" s="22">
        <v>2.86</v>
      </c>
      <c r="D39" s="44">
        <f>C39*I39</f>
        <v>3975400</v>
      </c>
      <c r="E39" s="12"/>
      <c r="F39" s="9"/>
      <c r="G39" s="22">
        <v>0.3</v>
      </c>
      <c r="H39" s="45">
        <f>G39*I39</f>
        <v>417000</v>
      </c>
      <c r="I39" s="45">
        <v>1390000</v>
      </c>
      <c r="J39" s="44">
        <f>(D39+F39+H39)*3%</f>
        <v>131772</v>
      </c>
      <c r="K39" s="44">
        <f>(D39+F39+H39)*17.5%</f>
        <v>768670</v>
      </c>
      <c r="L39" s="44">
        <f>J39+K39</f>
        <v>900442</v>
      </c>
      <c r="M39" s="44">
        <f>(D39+F39+H39)*1.5%</f>
        <v>65886</v>
      </c>
      <c r="N39" s="44">
        <f>(D39+F39+H39)*8%</f>
        <v>351392</v>
      </c>
      <c r="O39" s="44">
        <f>M39+N39</f>
        <v>417278</v>
      </c>
      <c r="P39" s="44"/>
      <c r="Q39" s="44"/>
      <c r="R39" s="44"/>
      <c r="S39" s="44"/>
      <c r="T39" s="18"/>
    </row>
    <row r="40" spans="1:20" ht="20.25" customHeight="1">
      <c r="A40" s="23"/>
      <c r="B40" s="23" t="s">
        <v>12</v>
      </c>
      <c r="C40" s="27">
        <f>C41</f>
        <v>2.45</v>
      </c>
      <c r="D40" s="46">
        <f>D41</f>
        <v>3405500.0000000005</v>
      </c>
      <c r="E40" s="29">
        <f>E41</f>
        <v>0</v>
      </c>
      <c r="F40" s="29">
        <f>F41</f>
        <v>0</v>
      </c>
      <c r="G40" s="29">
        <f>G41</f>
        <v>0</v>
      </c>
      <c r="H40" s="46"/>
      <c r="I40" s="45">
        <v>1390000</v>
      </c>
      <c r="J40" s="46">
        <f aca="true" t="shared" si="19" ref="J40:O40">J41</f>
        <v>102165.00000000001</v>
      </c>
      <c r="K40" s="46">
        <f t="shared" si="19"/>
        <v>595962.5</v>
      </c>
      <c r="L40" s="46">
        <f t="shared" si="19"/>
        <v>698127.5</v>
      </c>
      <c r="M40" s="46">
        <f t="shared" si="19"/>
        <v>51082.50000000001</v>
      </c>
      <c r="N40" s="46">
        <f t="shared" si="19"/>
        <v>272440.00000000006</v>
      </c>
      <c r="O40" s="46">
        <f t="shared" si="19"/>
        <v>323522.50000000006</v>
      </c>
      <c r="P40" s="46"/>
      <c r="Q40" s="46"/>
      <c r="R40" s="46"/>
      <c r="S40" s="23"/>
      <c r="T40" s="23"/>
    </row>
    <row r="41" spans="1:20" ht="20.25" customHeight="1">
      <c r="A41" s="16">
        <v>22</v>
      </c>
      <c r="B41" s="18" t="s">
        <v>125</v>
      </c>
      <c r="C41" s="26">
        <v>2.45</v>
      </c>
      <c r="D41" s="44">
        <f>C41*I41</f>
        <v>3405500.0000000005</v>
      </c>
      <c r="E41" s="14"/>
      <c r="F41" s="9"/>
      <c r="G41" s="14"/>
      <c r="H41" s="46"/>
      <c r="I41" s="45">
        <v>1390000</v>
      </c>
      <c r="J41" s="44">
        <f>(D41+F41+H41)*3%</f>
        <v>102165.00000000001</v>
      </c>
      <c r="K41" s="44">
        <f>(D41+F41+H41)*17.5%</f>
        <v>595962.5</v>
      </c>
      <c r="L41" s="44">
        <f>J41+K41</f>
        <v>698127.5</v>
      </c>
      <c r="M41" s="44">
        <f>(D41+F41+H41)*1.5%</f>
        <v>51082.50000000001</v>
      </c>
      <c r="N41" s="44">
        <f>(D41+F41+H41)*8%</f>
        <v>272440.00000000006</v>
      </c>
      <c r="O41" s="44">
        <f>M41+N41</f>
        <v>323522.50000000006</v>
      </c>
      <c r="P41" s="44"/>
      <c r="Q41" s="44"/>
      <c r="R41" s="44"/>
      <c r="S41" s="23"/>
      <c r="T41" s="23"/>
    </row>
    <row r="42" spans="1:20" ht="20.25" customHeight="1">
      <c r="A42" s="16"/>
      <c r="B42" s="23" t="s">
        <v>13</v>
      </c>
      <c r="C42" s="8">
        <f aca="true" t="shared" si="20" ref="C42:H42">C8+C25+C27+C29+C31+C33+C35+C37+C40</f>
        <v>52.400000000000006</v>
      </c>
      <c r="D42" s="28">
        <f t="shared" si="20"/>
        <v>72389600</v>
      </c>
      <c r="E42" s="8">
        <f t="shared" si="20"/>
        <v>0</v>
      </c>
      <c r="F42" s="28">
        <f t="shared" si="20"/>
        <v>0</v>
      </c>
      <c r="G42" s="8">
        <f t="shared" si="20"/>
        <v>1.5</v>
      </c>
      <c r="H42" s="28">
        <f t="shared" si="20"/>
        <v>2013000</v>
      </c>
      <c r="I42" s="28"/>
      <c r="J42" s="28">
        <f aca="true" t="shared" si="21" ref="J42:O42">J8+J25+J27+J29+J31+J33+J35+J37+J40</f>
        <v>2232078</v>
      </c>
      <c r="K42" s="28">
        <f t="shared" si="21"/>
        <v>13020455</v>
      </c>
      <c r="L42" s="28">
        <f t="shared" si="21"/>
        <v>15252533</v>
      </c>
      <c r="M42" s="28">
        <f t="shared" si="21"/>
        <v>1116039</v>
      </c>
      <c r="N42" s="28">
        <f t="shared" si="21"/>
        <v>5952208</v>
      </c>
      <c r="O42" s="28">
        <f t="shared" si="21"/>
        <v>7068247</v>
      </c>
      <c r="P42" s="28"/>
      <c r="Q42" s="28"/>
      <c r="R42" s="28"/>
      <c r="S42" s="18"/>
      <c r="T42" s="18"/>
    </row>
    <row r="43" spans="3:15" ht="15.75">
      <c r="C43" s="47">
        <f>C8+C37+D45</f>
        <v>52.68</v>
      </c>
      <c r="D43" s="36">
        <f>C41+C36+C34+C32+C30</f>
        <v>10.870000000000001</v>
      </c>
      <c r="E43" s="48"/>
      <c r="J43" s="156"/>
      <c r="K43" s="156"/>
      <c r="L43" s="52"/>
      <c r="M43" s="156"/>
      <c r="N43" s="156"/>
      <c r="O43" s="58"/>
    </row>
    <row r="44" spans="1:15" ht="15.75">
      <c r="A44" s="158"/>
      <c r="B44" s="158"/>
      <c r="C44" s="8">
        <f>C8+C25+C37+D43+C27</f>
        <v>52.400000000000006</v>
      </c>
      <c r="D44" s="36">
        <f>0.7*6</f>
        <v>4.199999999999999</v>
      </c>
      <c r="E44" s="36"/>
      <c r="F44" s="5"/>
      <c r="G44" s="5"/>
      <c r="H44" s="5"/>
      <c r="I44" s="5"/>
      <c r="J44" s="158"/>
      <c r="K44" s="158"/>
      <c r="L44" s="53"/>
      <c r="M44" s="158"/>
      <c r="N44" s="158"/>
      <c r="O44" s="59"/>
    </row>
    <row r="45" spans="4:6" ht="17.25">
      <c r="D45" s="49">
        <f>SUM(D43:D44)</f>
        <v>15.07</v>
      </c>
      <c r="E45" s="36">
        <f>13.68</f>
        <v>13.68</v>
      </c>
      <c r="F45" s="38">
        <f>D45-E45</f>
        <v>1.3900000000000006</v>
      </c>
    </row>
    <row r="47" ht="15.75">
      <c r="D47" s="6">
        <v>2.76</v>
      </c>
    </row>
    <row r="48" ht="15.75">
      <c r="D48" s="6">
        <v>2.56</v>
      </c>
    </row>
    <row r="49" ht="15.75">
      <c r="D49" s="6">
        <v>2.56</v>
      </c>
    </row>
    <row r="50" ht="15.75">
      <c r="D50" s="6">
        <v>2.45</v>
      </c>
    </row>
    <row r="51" ht="15.75">
      <c r="D51" s="6">
        <v>3.35</v>
      </c>
    </row>
    <row r="53" ht="15.75">
      <c r="D53" s="50">
        <f>SUM(D47:D52)</f>
        <v>13.680000000000001</v>
      </c>
    </row>
  </sheetData>
  <sheetProtection/>
  <mergeCells count="24">
    <mergeCell ref="M43:N43"/>
    <mergeCell ref="G4:H4"/>
    <mergeCell ref="A44:B44"/>
    <mergeCell ref="J44:K44"/>
    <mergeCell ref="M44:N44"/>
    <mergeCell ref="J43:K43"/>
    <mergeCell ref="T4:T6"/>
    <mergeCell ref="C5:C6"/>
    <mergeCell ref="M4:O5"/>
    <mergeCell ref="D5:D6"/>
    <mergeCell ref="E5:F5"/>
    <mergeCell ref="G5:H5"/>
    <mergeCell ref="J4:L5"/>
    <mergeCell ref="I4:I6"/>
    <mergeCell ref="A1:T1"/>
    <mergeCell ref="P4:P6"/>
    <mergeCell ref="Q4:Q6"/>
    <mergeCell ref="R4:R6"/>
    <mergeCell ref="S4:S6"/>
    <mergeCell ref="A2:T2"/>
    <mergeCell ref="A4:A6"/>
    <mergeCell ref="B4:B6"/>
    <mergeCell ref="C4:D4"/>
    <mergeCell ref="E4:F4"/>
  </mergeCells>
  <printOptions horizontalCentered="1"/>
  <pageMargins left="0.25" right="0.25" top="0.5" bottom="0.5" header="0.39" footer="0.5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3"/>
  <sheetViews>
    <sheetView view="pageBreakPreview" zoomScale="90" zoomScaleNormal="90" zoomScaleSheetLayoutView="90" zoomScalePageLayoutView="0" workbookViewId="0" topLeftCell="A9">
      <selection activeCell="J43" sqref="J43:K43"/>
    </sheetView>
  </sheetViews>
  <sheetFormatPr defaultColWidth="9.00390625" defaultRowHeight="15.75"/>
  <cols>
    <col min="1" max="1" width="3.50390625" style="6" customWidth="1"/>
    <col min="2" max="2" width="15.875" style="6" customWidth="1"/>
    <col min="3" max="3" width="8.00390625" style="6" customWidth="1"/>
    <col min="4" max="4" width="10.875" style="6" customWidth="1"/>
    <col min="5" max="5" width="6.00390625" style="7" customWidth="1"/>
    <col min="6" max="6" width="8.75390625" style="6" customWidth="1"/>
    <col min="7" max="7" width="6.625" style="7" customWidth="1"/>
    <col min="8" max="9" width="9.625" style="6" customWidth="1"/>
    <col min="10" max="10" width="11.125" style="6" customWidth="1"/>
    <col min="11" max="11" width="11.375" style="6" customWidth="1"/>
    <col min="12" max="12" width="11.125" style="51" customWidth="1"/>
    <col min="13" max="13" width="11.00390625" style="6" customWidth="1"/>
    <col min="14" max="14" width="11.50390625" style="6" customWidth="1"/>
    <col min="15" max="15" width="11.00390625" style="56" customWidth="1"/>
    <col min="16" max="16" width="10.875" style="6" customWidth="1"/>
    <col min="17" max="17" width="8.50390625" style="6" customWidth="1"/>
    <col min="18" max="19" width="11.00390625" style="6" customWidth="1"/>
    <col min="20" max="20" width="10.375" style="6" customWidth="1"/>
    <col min="21" max="21" width="11.125" style="6" bestFit="1" customWidth="1"/>
    <col min="22" max="16384" width="9.00390625" style="6" customWidth="1"/>
  </cols>
  <sheetData>
    <row r="1" spans="1:22" ht="21.75" customHeight="1">
      <c r="A1" s="158" t="s">
        <v>106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37"/>
      <c r="V1" s="37"/>
    </row>
    <row r="2" spans="1:20" ht="16.5" customHeight="1">
      <c r="A2" s="158" t="s">
        <v>213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15" ht="15.75">
      <c r="A3" s="6" t="s">
        <v>53</v>
      </c>
      <c r="D3" s="38"/>
      <c r="E3" s="39"/>
      <c r="F3" s="40"/>
      <c r="L3" s="6"/>
      <c r="O3" s="6"/>
    </row>
    <row r="4" spans="1:20" ht="15.75" customHeight="1">
      <c r="A4" s="171" t="s">
        <v>14</v>
      </c>
      <c r="B4" s="171" t="s">
        <v>24</v>
      </c>
      <c r="C4" s="174" t="s">
        <v>7</v>
      </c>
      <c r="D4" s="175"/>
      <c r="E4" s="157"/>
      <c r="F4" s="157"/>
      <c r="G4" s="157"/>
      <c r="H4" s="157"/>
      <c r="I4" s="159" t="s">
        <v>31</v>
      </c>
      <c r="J4" s="162" t="s">
        <v>22</v>
      </c>
      <c r="K4" s="163"/>
      <c r="L4" s="164"/>
      <c r="M4" s="162" t="s">
        <v>21</v>
      </c>
      <c r="N4" s="163"/>
      <c r="O4" s="164"/>
      <c r="P4" s="159" t="s">
        <v>29</v>
      </c>
      <c r="Q4" s="159" t="s">
        <v>30</v>
      </c>
      <c r="R4" s="159" t="s">
        <v>32</v>
      </c>
      <c r="S4" s="159" t="s">
        <v>33</v>
      </c>
      <c r="T4" s="159" t="s">
        <v>16</v>
      </c>
    </row>
    <row r="5" spans="1:20" ht="30" customHeight="1">
      <c r="A5" s="172"/>
      <c r="B5" s="172"/>
      <c r="C5" s="159" t="s">
        <v>9</v>
      </c>
      <c r="D5" s="159" t="s">
        <v>8</v>
      </c>
      <c r="E5" s="168" t="s">
        <v>23</v>
      </c>
      <c r="F5" s="169"/>
      <c r="G5" s="168" t="s">
        <v>10</v>
      </c>
      <c r="H5" s="170"/>
      <c r="I5" s="160"/>
      <c r="J5" s="165"/>
      <c r="K5" s="166"/>
      <c r="L5" s="167"/>
      <c r="M5" s="165"/>
      <c r="N5" s="166"/>
      <c r="O5" s="167"/>
      <c r="P5" s="160"/>
      <c r="Q5" s="160"/>
      <c r="R5" s="160"/>
      <c r="S5" s="160"/>
      <c r="T5" s="160"/>
    </row>
    <row r="6" spans="1:20" ht="79.5" customHeight="1">
      <c r="A6" s="173"/>
      <c r="B6" s="173"/>
      <c r="C6" s="161"/>
      <c r="D6" s="161"/>
      <c r="E6" s="2" t="s">
        <v>11</v>
      </c>
      <c r="F6" s="2" t="s">
        <v>8</v>
      </c>
      <c r="G6" s="2" t="s">
        <v>11</v>
      </c>
      <c r="H6" s="30" t="s">
        <v>8</v>
      </c>
      <c r="I6" s="161"/>
      <c r="J6" s="3" t="s">
        <v>17</v>
      </c>
      <c r="K6" s="3" t="s">
        <v>222</v>
      </c>
      <c r="L6" s="4" t="s">
        <v>13</v>
      </c>
      <c r="M6" s="3" t="s">
        <v>18</v>
      </c>
      <c r="N6" s="3" t="s">
        <v>19</v>
      </c>
      <c r="O6" s="57" t="s">
        <v>13</v>
      </c>
      <c r="P6" s="160"/>
      <c r="Q6" s="161"/>
      <c r="R6" s="161"/>
      <c r="S6" s="161"/>
      <c r="T6" s="161"/>
    </row>
    <row r="7" spans="1:20" ht="18.75" customHeight="1">
      <c r="A7" s="54" t="s">
        <v>34</v>
      </c>
      <c r="B7" s="54" t="s">
        <v>35</v>
      </c>
      <c r="C7" s="54" t="s">
        <v>36</v>
      </c>
      <c r="D7" s="54" t="s">
        <v>37</v>
      </c>
      <c r="E7" s="54" t="s">
        <v>38</v>
      </c>
      <c r="F7" s="54" t="s">
        <v>39</v>
      </c>
      <c r="G7" s="54" t="s">
        <v>40</v>
      </c>
      <c r="H7" s="54" t="s">
        <v>41</v>
      </c>
      <c r="I7" s="54" t="s">
        <v>42</v>
      </c>
      <c r="J7" s="55" t="s">
        <v>43</v>
      </c>
      <c r="K7" s="55" t="s">
        <v>44</v>
      </c>
      <c r="L7" s="55" t="s">
        <v>45</v>
      </c>
      <c r="M7" s="55" t="s">
        <v>46</v>
      </c>
      <c r="N7" s="55" t="s">
        <v>47</v>
      </c>
      <c r="O7" s="55" t="s">
        <v>48</v>
      </c>
      <c r="P7" s="55" t="s">
        <v>15</v>
      </c>
      <c r="Q7" s="54" t="s">
        <v>49</v>
      </c>
      <c r="R7" s="54" t="s">
        <v>50</v>
      </c>
      <c r="S7" s="54" t="s">
        <v>51</v>
      </c>
      <c r="T7" s="54" t="s">
        <v>52</v>
      </c>
    </row>
    <row r="8" spans="1:20" ht="15.75">
      <c r="A8" s="16"/>
      <c r="B8" s="17" t="s">
        <v>0</v>
      </c>
      <c r="C8" s="41">
        <f aca="true" t="shared" si="0" ref="C8:H8">SUM(C9:C24)</f>
        <v>32.089999999999996</v>
      </c>
      <c r="D8" s="42">
        <f t="shared" si="0"/>
        <v>44605100</v>
      </c>
      <c r="E8" s="64">
        <f t="shared" si="0"/>
        <v>0</v>
      </c>
      <c r="F8" s="42">
        <f t="shared" si="0"/>
        <v>0</v>
      </c>
      <c r="G8" s="15">
        <f t="shared" si="0"/>
        <v>0.65</v>
      </c>
      <c r="H8" s="9">
        <f t="shared" si="0"/>
        <v>903500</v>
      </c>
      <c r="I8" s="9"/>
      <c r="J8" s="42">
        <f aca="true" t="shared" si="1" ref="J8:O8">SUM(J9:J24)</f>
        <v>1365258</v>
      </c>
      <c r="K8" s="42">
        <f t="shared" si="1"/>
        <v>7964005</v>
      </c>
      <c r="L8" s="42">
        <f t="shared" si="1"/>
        <v>9329263</v>
      </c>
      <c r="M8" s="42">
        <f t="shared" si="1"/>
        <v>682629</v>
      </c>
      <c r="N8" s="42">
        <f t="shared" si="1"/>
        <v>3640688</v>
      </c>
      <c r="O8" s="42">
        <f t="shared" si="1"/>
        <v>4323317</v>
      </c>
      <c r="P8" s="42"/>
      <c r="Q8" s="42"/>
      <c r="R8" s="42"/>
      <c r="S8" s="43"/>
      <c r="T8" s="16"/>
    </row>
    <row r="9" spans="1:20" ht="15.75">
      <c r="A9" s="21" t="s">
        <v>34</v>
      </c>
      <c r="B9" s="1" t="s">
        <v>108</v>
      </c>
      <c r="C9" s="22">
        <v>2.46</v>
      </c>
      <c r="D9" s="44">
        <f>C9*I9</f>
        <v>3419400</v>
      </c>
      <c r="E9" s="78"/>
      <c r="F9" s="45"/>
      <c r="G9" s="22">
        <v>0.25</v>
      </c>
      <c r="H9" s="45">
        <f>G9*I9</f>
        <v>347500</v>
      </c>
      <c r="I9" s="45">
        <v>1390000</v>
      </c>
      <c r="J9" s="44">
        <f aca="true" t="shared" si="2" ref="J9:J22">(D9+F9+H9)*3%</f>
        <v>113007</v>
      </c>
      <c r="K9" s="44">
        <f>(D9+F9+H9)*17.5%</f>
        <v>659207.5</v>
      </c>
      <c r="L9" s="44">
        <f aca="true" t="shared" si="3" ref="L9:L22">J9+K9</f>
        <v>772214.5</v>
      </c>
      <c r="M9" s="44">
        <f aca="true" t="shared" si="4" ref="M9:M22">(D9+F9+H9)*1.5%</f>
        <v>56503.5</v>
      </c>
      <c r="N9" s="44">
        <f aca="true" t="shared" si="5" ref="N9:N22">(D9+F9+H9)*8%</f>
        <v>301352</v>
      </c>
      <c r="O9" s="44">
        <f aca="true" t="shared" si="6" ref="O9:O22">M9+N9</f>
        <v>357855.5</v>
      </c>
      <c r="P9" s="44"/>
      <c r="Q9" s="44"/>
      <c r="R9" s="44"/>
      <c r="S9" s="16"/>
      <c r="T9" s="16"/>
    </row>
    <row r="10" spans="1:20" ht="15.75">
      <c r="A10" s="21" t="s">
        <v>35</v>
      </c>
      <c r="B10" s="18" t="s">
        <v>109</v>
      </c>
      <c r="C10" s="22">
        <v>2.46</v>
      </c>
      <c r="D10" s="44">
        <f aca="true" t="shared" si="7" ref="D10:D22">C10*I10</f>
        <v>3419400</v>
      </c>
      <c r="E10" s="12"/>
      <c r="F10" s="45">
        <f aca="true" t="shared" si="8" ref="F10:F22">(E10*1150000)</f>
        <v>0</v>
      </c>
      <c r="G10" s="22">
        <v>0.2</v>
      </c>
      <c r="H10" s="45">
        <f>G10*I10</f>
        <v>278000</v>
      </c>
      <c r="I10" s="45">
        <v>1390000</v>
      </c>
      <c r="J10" s="44">
        <f t="shared" si="2"/>
        <v>110922</v>
      </c>
      <c r="K10" s="44">
        <f aca="true" t="shared" si="9" ref="K10:K22">(D10+F10+H10)*17.5%</f>
        <v>647045</v>
      </c>
      <c r="L10" s="44">
        <f t="shared" si="3"/>
        <v>757967</v>
      </c>
      <c r="M10" s="44">
        <f t="shared" si="4"/>
        <v>55461</v>
      </c>
      <c r="N10" s="44">
        <f t="shared" si="5"/>
        <v>295792</v>
      </c>
      <c r="O10" s="44">
        <f t="shared" si="6"/>
        <v>351253</v>
      </c>
      <c r="P10" s="44"/>
      <c r="Q10" s="44"/>
      <c r="R10" s="44"/>
      <c r="S10" s="18"/>
      <c r="T10" s="18"/>
    </row>
    <row r="11" spans="1:20" ht="15.75">
      <c r="A11" s="21"/>
      <c r="B11" s="18"/>
      <c r="C11" s="22"/>
      <c r="D11" s="44">
        <f t="shared" si="7"/>
        <v>0</v>
      </c>
      <c r="E11" s="22"/>
      <c r="F11" s="45">
        <f t="shared" si="8"/>
        <v>0</v>
      </c>
      <c r="G11" s="22"/>
      <c r="H11" s="45"/>
      <c r="I11" s="45"/>
      <c r="J11" s="44">
        <f t="shared" si="2"/>
        <v>0</v>
      </c>
      <c r="K11" s="44">
        <f t="shared" si="9"/>
        <v>0</v>
      </c>
      <c r="L11" s="44">
        <f t="shared" si="3"/>
        <v>0</v>
      </c>
      <c r="M11" s="44">
        <f t="shared" si="4"/>
        <v>0</v>
      </c>
      <c r="N11" s="44">
        <f t="shared" si="5"/>
        <v>0</v>
      </c>
      <c r="O11" s="44">
        <f t="shared" si="6"/>
        <v>0</v>
      </c>
      <c r="P11" s="44"/>
      <c r="Q11" s="44"/>
      <c r="R11" s="44"/>
      <c r="S11" s="18"/>
      <c r="T11" s="18"/>
    </row>
    <row r="12" spans="1:20" ht="15.75">
      <c r="A12" s="21">
        <v>3</v>
      </c>
      <c r="B12" s="18" t="s">
        <v>111</v>
      </c>
      <c r="C12" s="22">
        <v>2.34</v>
      </c>
      <c r="D12" s="44">
        <f t="shared" si="7"/>
        <v>3252600</v>
      </c>
      <c r="E12" s="12"/>
      <c r="F12" s="45">
        <f t="shared" si="8"/>
        <v>0</v>
      </c>
      <c r="G12" s="22">
        <v>0.2</v>
      </c>
      <c r="H12" s="45">
        <f>G12*I12</f>
        <v>278000</v>
      </c>
      <c r="I12" s="45">
        <v>1390000</v>
      </c>
      <c r="J12" s="44">
        <f t="shared" si="2"/>
        <v>105918</v>
      </c>
      <c r="K12" s="44">
        <f t="shared" si="9"/>
        <v>617855</v>
      </c>
      <c r="L12" s="44">
        <f t="shared" si="3"/>
        <v>723773</v>
      </c>
      <c r="M12" s="44">
        <f t="shared" si="4"/>
        <v>52959</v>
      </c>
      <c r="N12" s="44">
        <f t="shared" si="5"/>
        <v>282448</v>
      </c>
      <c r="O12" s="44">
        <f t="shared" si="6"/>
        <v>335407</v>
      </c>
      <c r="P12" s="44"/>
      <c r="Q12" s="44"/>
      <c r="R12" s="44"/>
      <c r="S12" s="18"/>
      <c r="T12" s="18"/>
    </row>
    <row r="13" spans="1:20" ht="15.75">
      <c r="A13" s="21">
        <v>4</v>
      </c>
      <c r="B13" s="18" t="s">
        <v>112</v>
      </c>
      <c r="C13" s="22">
        <v>3</v>
      </c>
      <c r="D13" s="44">
        <f t="shared" si="7"/>
        <v>4170000</v>
      </c>
      <c r="E13" s="12"/>
      <c r="F13" s="45">
        <f t="shared" si="8"/>
        <v>0</v>
      </c>
      <c r="G13" s="22"/>
      <c r="H13" s="45"/>
      <c r="I13" s="45">
        <v>1390000</v>
      </c>
      <c r="J13" s="44">
        <f t="shared" si="2"/>
        <v>125100</v>
      </c>
      <c r="K13" s="44">
        <f t="shared" si="9"/>
        <v>729750</v>
      </c>
      <c r="L13" s="44">
        <f t="shared" si="3"/>
        <v>854850</v>
      </c>
      <c r="M13" s="44">
        <f t="shared" si="4"/>
        <v>62550</v>
      </c>
      <c r="N13" s="44">
        <f t="shared" si="5"/>
        <v>333600</v>
      </c>
      <c r="O13" s="44">
        <f t="shared" si="6"/>
        <v>396150</v>
      </c>
      <c r="P13" s="44"/>
      <c r="Q13" s="44"/>
      <c r="R13" s="44"/>
      <c r="S13" s="18"/>
      <c r="T13" s="18"/>
    </row>
    <row r="14" spans="1:20" ht="15.75">
      <c r="A14" s="21">
        <v>5</v>
      </c>
      <c r="B14" s="18" t="s">
        <v>113</v>
      </c>
      <c r="C14" s="22">
        <v>2.26</v>
      </c>
      <c r="D14" s="44">
        <f t="shared" si="7"/>
        <v>3141399.9999999995</v>
      </c>
      <c r="E14" s="12"/>
      <c r="F14" s="45">
        <f t="shared" si="8"/>
        <v>0</v>
      </c>
      <c r="G14" s="22"/>
      <c r="H14" s="45">
        <f aca="true" t="shared" si="10" ref="H14:H22">(G14*1150000)</f>
        <v>0</v>
      </c>
      <c r="I14" s="45">
        <v>1390000</v>
      </c>
      <c r="J14" s="44">
        <f t="shared" si="2"/>
        <v>94241.99999999999</v>
      </c>
      <c r="K14" s="44">
        <f t="shared" si="9"/>
        <v>549744.9999999999</v>
      </c>
      <c r="L14" s="44">
        <f t="shared" si="3"/>
        <v>643986.9999999999</v>
      </c>
      <c r="M14" s="44">
        <f t="shared" si="4"/>
        <v>47120.99999999999</v>
      </c>
      <c r="N14" s="44">
        <f t="shared" si="5"/>
        <v>251311.99999999997</v>
      </c>
      <c r="O14" s="44">
        <f t="shared" si="6"/>
        <v>298432.99999999994</v>
      </c>
      <c r="P14" s="44"/>
      <c r="Q14" s="44"/>
      <c r="R14" s="44"/>
      <c r="S14" s="18"/>
      <c r="T14" s="18"/>
    </row>
    <row r="15" spans="1:20" ht="15.75">
      <c r="A15" s="21">
        <v>6</v>
      </c>
      <c r="B15" s="18" t="s">
        <v>114</v>
      </c>
      <c r="C15" s="22">
        <v>2.86</v>
      </c>
      <c r="D15" s="44">
        <f t="shared" si="7"/>
        <v>3975400</v>
      </c>
      <c r="E15" s="12"/>
      <c r="F15" s="45">
        <f t="shared" si="8"/>
        <v>0</v>
      </c>
      <c r="G15" s="22"/>
      <c r="H15" s="45">
        <f t="shared" si="10"/>
        <v>0</v>
      </c>
      <c r="I15" s="45">
        <v>1390000</v>
      </c>
      <c r="J15" s="44">
        <f t="shared" si="2"/>
        <v>119262</v>
      </c>
      <c r="K15" s="44">
        <f t="shared" si="9"/>
        <v>695695</v>
      </c>
      <c r="L15" s="44">
        <f t="shared" si="3"/>
        <v>814957</v>
      </c>
      <c r="M15" s="44">
        <f t="shared" si="4"/>
        <v>59631</v>
      </c>
      <c r="N15" s="44">
        <f t="shared" si="5"/>
        <v>318032</v>
      </c>
      <c r="O15" s="44">
        <f t="shared" si="6"/>
        <v>377663</v>
      </c>
      <c r="P15" s="44"/>
      <c r="Q15" s="44"/>
      <c r="R15" s="44"/>
      <c r="S15" s="18"/>
      <c r="T15" s="18"/>
    </row>
    <row r="16" spans="1:20" ht="15.75">
      <c r="A16" s="21">
        <v>7</v>
      </c>
      <c r="B16" s="18" t="s">
        <v>115</v>
      </c>
      <c r="C16" s="22">
        <v>2.46</v>
      </c>
      <c r="D16" s="44">
        <f t="shared" si="7"/>
        <v>3419400</v>
      </c>
      <c r="E16" s="12"/>
      <c r="F16" s="45">
        <f t="shared" si="8"/>
        <v>0</v>
      </c>
      <c r="G16" s="22"/>
      <c r="H16" s="45">
        <f t="shared" si="10"/>
        <v>0</v>
      </c>
      <c r="I16" s="45">
        <v>1390000</v>
      </c>
      <c r="J16" s="44">
        <f t="shared" si="2"/>
        <v>102582</v>
      </c>
      <c r="K16" s="44">
        <f t="shared" si="9"/>
        <v>598395</v>
      </c>
      <c r="L16" s="44">
        <f t="shared" si="3"/>
        <v>700977</v>
      </c>
      <c r="M16" s="44">
        <f t="shared" si="4"/>
        <v>51291</v>
      </c>
      <c r="N16" s="44">
        <f t="shared" si="5"/>
        <v>273552</v>
      </c>
      <c r="O16" s="44">
        <f t="shared" si="6"/>
        <v>324843</v>
      </c>
      <c r="P16" s="44"/>
      <c r="Q16" s="44"/>
      <c r="R16" s="44"/>
      <c r="S16" s="18"/>
      <c r="T16" s="18"/>
    </row>
    <row r="17" spans="1:20" ht="15.75">
      <c r="A17" s="21">
        <v>8</v>
      </c>
      <c r="B17" s="18" t="s">
        <v>147</v>
      </c>
      <c r="C17" s="22">
        <v>2.34</v>
      </c>
      <c r="D17" s="44">
        <f t="shared" si="7"/>
        <v>3252600</v>
      </c>
      <c r="E17" s="12"/>
      <c r="F17" s="45">
        <f t="shared" si="8"/>
        <v>0</v>
      </c>
      <c r="G17" s="22"/>
      <c r="H17" s="45">
        <f t="shared" si="10"/>
        <v>0</v>
      </c>
      <c r="I17" s="45">
        <v>1390000</v>
      </c>
      <c r="J17" s="44">
        <f t="shared" si="2"/>
        <v>97578</v>
      </c>
      <c r="K17" s="44">
        <f t="shared" si="9"/>
        <v>569205</v>
      </c>
      <c r="L17" s="44">
        <f t="shared" si="3"/>
        <v>666783</v>
      </c>
      <c r="M17" s="44">
        <f t="shared" si="4"/>
        <v>48789</v>
      </c>
      <c r="N17" s="44">
        <f t="shared" si="5"/>
        <v>260208</v>
      </c>
      <c r="O17" s="44">
        <f t="shared" si="6"/>
        <v>308997</v>
      </c>
      <c r="P17" s="44"/>
      <c r="Q17" s="44"/>
      <c r="R17" s="44"/>
      <c r="S17" s="18"/>
      <c r="T17" s="18"/>
    </row>
    <row r="18" spans="1:20" ht="15.75">
      <c r="A18" s="21">
        <v>9</v>
      </c>
      <c r="B18" s="18" t="s">
        <v>116</v>
      </c>
      <c r="C18" s="22">
        <v>2.26</v>
      </c>
      <c r="D18" s="44">
        <f t="shared" si="7"/>
        <v>3141399.9999999995</v>
      </c>
      <c r="E18" s="12"/>
      <c r="F18" s="45">
        <f t="shared" si="8"/>
        <v>0</v>
      </c>
      <c r="G18" s="22"/>
      <c r="H18" s="45">
        <f t="shared" si="10"/>
        <v>0</v>
      </c>
      <c r="I18" s="45">
        <v>1390000</v>
      </c>
      <c r="J18" s="44">
        <f t="shared" si="2"/>
        <v>94241.99999999999</v>
      </c>
      <c r="K18" s="44">
        <f t="shared" si="9"/>
        <v>549744.9999999999</v>
      </c>
      <c r="L18" s="44">
        <f t="shared" si="3"/>
        <v>643986.9999999999</v>
      </c>
      <c r="M18" s="44">
        <f t="shared" si="4"/>
        <v>47120.99999999999</v>
      </c>
      <c r="N18" s="44">
        <f t="shared" si="5"/>
        <v>251311.99999999997</v>
      </c>
      <c r="O18" s="44">
        <f t="shared" si="6"/>
        <v>298432.99999999994</v>
      </c>
      <c r="P18" s="44"/>
      <c r="Q18" s="44"/>
      <c r="R18" s="44"/>
      <c r="S18" s="18"/>
      <c r="T18" s="18"/>
    </row>
    <row r="19" spans="1:20" ht="15.75">
      <c r="A19" s="21">
        <v>10</v>
      </c>
      <c r="B19" s="18" t="s">
        <v>117</v>
      </c>
      <c r="C19" s="22">
        <v>2.46</v>
      </c>
      <c r="D19" s="44">
        <f t="shared" si="7"/>
        <v>3419400</v>
      </c>
      <c r="E19" s="12"/>
      <c r="F19" s="45">
        <f t="shared" si="8"/>
        <v>0</v>
      </c>
      <c r="G19" s="22"/>
      <c r="H19" s="45">
        <f t="shared" si="10"/>
        <v>0</v>
      </c>
      <c r="I19" s="45">
        <v>1390000</v>
      </c>
      <c r="J19" s="44">
        <f t="shared" si="2"/>
        <v>102582</v>
      </c>
      <c r="K19" s="44">
        <f t="shared" si="9"/>
        <v>598395</v>
      </c>
      <c r="L19" s="44">
        <f t="shared" si="3"/>
        <v>700977</v>
      </c>
      <c r="M19" s="44">
        <f t="shared" si="4"/>
        <v>51291</v>
      </c>
      <c r="N19" s="44">
        <f t="shared" si="5"/>
        <v>273552</v>
      </c>
      <c r="O19" s="44">
        <f t="shared" si="6"/>
        <v>324843</v>
      </c>
      <c r="P19" s="44"/>
      <c r="Q19" s="44"/>
      <c r="R19" s="44"/>
      <c r="S19" s="18"/>
      <c r="T19" s="18"/>
    </row>
    <row r="20" spans="1:20" ht="15.75">
      <c r="A20" s="21">
        <v>11</v>
      </c>
      <c r="B20" s="18" t="s">
        <v>118</v>
      </c>
      <c r="C20" s="22">
        <v>2.46</v>
      </c>
      <c r="D20" s="44">
        <f t="shared" si="7"/>
        <v>3419400</v>
      </c>
      <c r="E20" s="12"/>
      <c r="F20" s="45">
        <f t="shared" si="8"/>
        <v>0</v>
      </c>
      <c r="G20" s="22"/>
      <c r="H20" s="45">
        <f t="shared" si="10"/>
        <v>0</v>
      </c>
      <c r="I20" s="45">
        <v>1390000</v>
      </c>
      <c r="J20" s="44">
        <f t="shared" si="2"/>
        <v>102582</v>
      </c>
      <c r="K20" s="44">
        <f t="shared" si="9"/>
        <v>598395</v>
      </c>
      <c r="L20" s="44">
        <f t="shared" si="3"/>
        <v>700977</v>
      </c>
      <c r="M20" s="44">
        <f t="shared" si="4"/>
        <v>51291</v>
      </c>
      <c r="N20" s="44">
        <f t="shared" si="5"/>
        <v>273552</v>
      </c>
      <c r="O20" s="44">
        <f t="shared" si="6"/>
        <v>324843</v>
      </c>
      <c r="P20" s="44"/>
      <c r="Q20" s="44"/>
      <c r="R20" s="44"/>
      <c r="S20" s="18"/>
      <c r="T20" s="18"/>
    </row>
    <row r="21" spans="1:20" ht="15.75">
      <c r="A21" s="21">
        <v>12</v>
      </c>
      <c r="B21" s="18" t="s">
        <v>119</v>
      </c>
      <c r="C21" s="22">
        <v>2.06</v>
      </c>
      <c r="D21" s="44">
        <f t="shared" si="7"/>
        <v>2863400</v>
      </c>
      <c r="E21" s="12"/>
      <c r="F21" s="45">
        <f t="shared" si="8"/>
        <v>0</v>
      </c>
      <c r="G21" s="22"/>
      <c r="H21" s="45">
        <f t="shared" si="10"/>
        <v>0</v>
      </c>
      <c r="I21" s="45">
        <v>1390000</v>
      </c>
      <c r="J21" s="44">
        <f t="shared" si="2"/>
        <v>85902</v>
      </c>
      <c r="K21" s="44">
        <f t="shared" si="9"/>
        <v>501094.99999999994</v>
      </c>
      <c r="L21" s="44">
        <f t="shared" si="3"/>
        <v>586997</v>
      </c>
      <c r="M21" s="44">
        <f t="shared" si="4"/>
        <v>42951</v>
      </c>
      <c r="N21" s="44">
        <f t="shared" si="5"/>
        <v>229072</v>
      </c>
      <c r="O21" s="44">
        <f t="shared" si="6"/>
        <v>272023</v>
      </c>
      <c r="P21" s="44"/>
      <c r="Q21" s="44"/>
      <c r="R21" s="44"/>
      <c r="S21" s="18"/>
      <c r="T21" s="18"/>
    </row>
    <row r="22" spans="1:20" ht="15.75">
      <c r="A22" s="21">
        <v>13</v>
      </c>
      <c r="B22" s="18" t="s">
        <v>120</v>
      </c>
      <c r="C22" s="22">
        <v>2.67</v>
      </c>
      <c r="D22" s="44">
        <f t="shared" si="7"/>
        <v>3711300</v>
      </c>
      <c r="E22" s="12"/>
      <c r="F22" s="45">
        <f t="shared" si="8"/>
        <v>0</v>
      </c>
      <c r="G22" s="22"/>
      <c r="H22" s="45">
        <f t="shared" si="10"/>
        <v>0</v>
      </c>
      <c r="I22" s="45">
        <v>1390000</v>
      </c>
      <c r="J22" s="44">
        <f t="shared" si="2"/>
        <v>111339</v>
      </c>
      <c r="K22" s="44">
        <f t="shared" si="9"/>
        <v>649477.5</v>
      </c>
      <c r="L22" s="44">
        <f t="shared" si="3"/>
        <v>760816.5</v>
      </c>
      <c r="M22" s="44">
        <f t="shared" si="4"/>
        <v>55669.5</v>
      </c>
      <c r="N22" s="44">
        <f t="shared" si="5"/>
        <v>296904</v>
      </c>
      <c r="O22" s="44">
        <f t="shared" si="6"/>
        <v>352573.5</v>
      </c>
      <c r="P22" s="44"/>
      <c r="Q22" s="44"/>
      <c r="R22" s="44"/>
      <c r="S22" s="18"/>
      <c r="T22" s="18"/>
    </row>
    <row r="23" spans="1:20" ht="15.75">
      <c r="A23" s="21"/>
      <c r="B23" s="18"/>
      <c r="C23" s="22"/>
      <c r="D23" s="44"/>
      <c r="E23" s="12"/>
      <c r="F23" s="45"/>
      <c r="G23" s="22"/>
      <c r="H23" s="45"/>
      <c r="I23" s="45"/>
      <c r="J23" s="44"/>
      <c r="K23" s="44"/>
      <c r="L23" s="44"/>
      <c r="M23" s="44"/>
      <c r="N23" s="44"/>
      <c r="O23" s="44"/>
      <c r="P23" s="44"/>
      <c r="Q23" s="44"/>
      <c r="R23" s="44"/>
      <c r="S23" s="18"/>
      <c r="T23" s="18"/>
    </row>
    <row r="24" spans="1:20" ht="15.75">
      <c r="A24" s="21"/>
      <c r="B24" s="18"/>
      <c r="C24" s="22"/>
      <c r="D24" s="44"/>
      <c r="E24" s="12"/>
      <c r="F24" s="45"/>
      <c r="G24" s="22"/>
      <c r="H24" s="45"/>
      <c r="I24" s="45"/>
      <c r="J24" s="44"/>
      <c r="K24" s="44"/>
      <c r="L24" s="44"/>
      <c r="M24" s="44"/>
      <c r="N24" s="44"/>
      <c r="O24" s="44"/>
      <c r="P24" s="44"/>
      <c r="Q24" s="44"/>
      <c r="R24" s="44"/>
      <c r="S24" s="18"/>
      <c r="T24" s="18"/>
    </row>
    <row r="25" spans="1:20" ht="20.25" customHeight="1">
      <c r="A25" s="16"/>
      <c r="B25" s="19" t="s">
        <v>1</v>
      </c>
      <c r="C25" s="20">
        <v>1.86</v>
      </c>
      <c r="D25" s="46">
        <f>D26</f>
        <v>2139000</v>
      </c>
      <c r="E25" s="9">
        <f>E26</f>
        <v>0</v>
      </c>
      <c r="F25" s="9">
        <f>F26</f>
        <v>0</v>
      </c>
      <c r="G25" s="9">
        <f>G26</f>
        <v>0</v>
      </c>
      <c r="H25" s="46"/>
      <c r="I25" s="45">
        <v>1390000</v>
      </c>
      <c r="J25" s="46">
        <f aca="true" t="shared" si="11" ref="J25:O25">J26</f>
        <v>64170</v>
      </c>
      <c r="K25" s="46">
        <f t="shared" si="11"/>
        <v>374325</v>
      </c>
      <c r="L25" s="46">
        <f t="shared" si="11"/>
        <v>438495</v>
      </c>
      <c r="M25" s="46">
        <f t="shared" si="11"/>
        <v>32085</v>
      </c>
      <c r="N25" s="46">
        <f t="shared" si="11"/>
        <v>171120</v>
      </c>
      <c r="O25" s="46">
        <f t="shared" si="11"/>
        <v>203205</v>
      </c>
      <c r="P25" s="46"/>
      <c r="Q25" s="46"/>
      <c r="R25" s="46"/>
      <c r="S25" s="23"/>
      <c r="T25" s="23"/>
    </row>
    <row r="26" spans="1:20" ht="20.25" customHeight="1">
      <c r="A26" s="21">
        <v>14</v>
      </c>
      <c r="B26" s="1" t="s">
        <v>143</v>
      </c>
      <c r="C26" s="22">
        <v>1.86</v>
      </c>
      <c r="D26" s="44">
        <f>(C26*1150000)</f>
        <v>2139000</v>
      </c>
      <c r="E26" s="10"/>
      <c r="F26" s="9"/>
      <c r="G26" s="10"/>
      <c r="H26" s="46"/>
      <c r="I26" s="45">
        <v>1390000</v>
      </c>
      <c r="J26" s="44">
        <f>(D26+F26+H26)*3%</f>
        <v>64170</v>
      </c>
      <c r="K26" s="44">
        <f>(D26+F26+H26)*17.5%</f>
        <v>374325</v>
      </c>
      <c r="L26" s="44">
        <f>J26+K26</f>
        <v>438495</v>
      </c>
      <c r="M26" s="44">
        <f>(D26+F26+H26)*1.5%</f>
        <v>32085</v>
      </c>
      <c r="N26" s="44">
        <f>(D26+F26+H26)*8%</f>
        <v>171120</v>
      </c>
      <c r="O26" s="44">
        <f>M26+N26</f>
        <v>203205</v>
      </c>
      <c r="P26" s="44"/>
      <c r="Q26" s="44"/>
      <c r="R26" s="44"/>
      <c r="S26" s="23"/>
      <c r="T26" s="23"/>
    </row>
    <row r="27" spans="1:20" ht="20.25" customHeight="1">
      <c r="A27" s="16"/>
      <c r="B27" s="23" t="s">
        <v>25</v>
      </c>
      <c r="C27" s="24">
        <f>C28</f>
        <v>2.06</v>
      </c>
      <c r="D27" s="46">
        <f>D28</f>
        <v>2863400</v>
      </c>
      <c r="E27" s="11">
        <f>E28</f>
        <v>0</v>
      </c>
      <c r="F27" s="9"/>
      <c r="G27" s="11">
        <f>G28</f>
        <v>0</v>
      </c>
      <c r="H27" s="13">
        <f>H28</f>
        <v>0</v>
      </c>
      <c r="I27" s="45">
        <v>1390000</v>
      </c>
      <c r="J27" s="46">
        <f aca="true" t="shared" si="12" ref="J27:O27">J28</f>
        <v>85902</v>
      </c>
      <c r="K27" s="46">
        <f t="shared" si="12"/>
        <v>501094.99999999994</v>
      </c>
      <c r="L27" s="46">
        <f t="shared" si="12"/>
        <v>586997</v>
      </c>
      <c r="M27" s="46">
        <f t="shared" si="12"/>
        <v>42951</v>
      </c>
      <c r="N27" s="46">
        <f t="shared" si="12"/>
        <v>229072</v>
      </c>
      <c r="O27" s="46">
        <f t="shared" si="12"/>
        <v>272023</v>
      </c>
      <c r="P27" s="46"/>
      <c r="Q27" s="46"/>
      <c r="R27" s="46"/>
      <c r="S27" s="23"/>
      <c r="T27" s="23"/>
    </row>
    <row r="28" spans="1:20" ht="20.25" customHeight="1">
      <c r="A28" s="16">
        <v>15</v>
      </c>
      <c r="B28" s="18" t="s">
        <v>121</v>
      </c>
      <c r="C28" s="22">
        <v>2.06</v>
      </c>
      <c r="D28" s="44">
        <f>C28*I28</f>
        <v>2863400</v>
      </c>
      <c r="E28" s="12"/>
      <c r="F28" s="9"/>
      <c r="G28" s="22"/>
      <c r="H28" s="45"/>
      <c r="I28" s="45">
        <v>1390000</v>
      </c>
      <c r="J28" s="44">
        <f>(D28+F28+H28)*3%</f>
        <v>85902</v>
      </c>
      <c r="K28" s="44">
        <f>(D28+F28+H28)*17.5%</f>
        <v>501094.99999999994</v>
      </c>
      <c r="L28" s="44">
        <f>J28+K28</f>
        <v>586997</v>
      </c>
      <c r="M28" s="44">
        <f>(D28+F28+H28)*1.5%</f>
        <v>42951</v>
      </c>
      <c r="N28" s="44">
        <f>(D28+F28+H28)*8%</f>
        <v>229072</v>
      </c>
      <c r="O28" s="44">
        <f>M28+N28</f>
        <v>272023</v>
      </c>
      <c r="P28" s="44"/>
      <c r="Q28" s="44"/>
      <c r="R28" s="44"/>
      <c r="S28" s="23"/>
      <c r="T28" s="23"/>
    </row>
    <row r="29" spans="1:20" ht="20.25" customHeight="1">
      <c r="A29" s="16"/>
      <c r="B29" s="23" t="s">
        <v>3</v>
      </c>
      <c r="C29" s="24">
        <f>C30</f>
        <v>2.06</v>
      </c>
      <c r="D29" s="46">
        <f>D30</f>
        <v>2863400</v>
      </c>
      <c r="E29" s="11">
        <f>E30</f>
        <v>0</v>
      </c>
      <c r="F29" s="9"/>
      <c r="G29" s="11">
        <f>G30</f>
        <v>0.15</v>
      </c>
      <c r="H29" s="13">
        <f>H30</f>
        <v>172500</v>
      </c>
      <c r="I29" s="45">
        <v>1390000</v>
      </c>
      <c r="J29" s="46">
        <f aca="true" t="shared" si="13" ref="J29:O29">J30</f>
        <v>91077</v>
      </c>
      <c r="K29" s="46">
        <f t="shared" si="13"/>
        <v>531282.5</v>
      </c>
      <c r="L29" s="46">
        <f t="shared" si="13"/>
        <v>622359.5</v>
      </c>
      <c r="M29" s="46">
        <f t="shared" si="13"/>
        <v>45538.5</v>
      </c>
      <c r="N29" s="46">
        <f t="shared" si="13"/>
        <v>242872</v>
      </c>
      <c r="O29" s="46">
        <f t="shared" si="13"/>
        <v>288410.5</v>
      </c>
      <c r="P29" s="46"/>
      <c r="Q29" s="46"/>
      <c r="R29" s="46"/>
      <c r="S29" s="23"/>
      <c r="T29" s="23"/>
    </row>
    <row r="30" spans="1:20" ht="20.25" customHeight="1">
      <c r="A30" s="16">
        <v>16</v>
      </c>
      <c r="B30" s="18" t="s">
        <v>144</v>
      </c>
      <c r="C30" s="22">
        <v>2.06</v>
      </c>
      <c r="D30" s="44">
        <f>C30*I30</f>
        <v>2863400</v>
      </c>
      <c r="E30" s="12"/>
      <c r="F30" s="9"/>
      <c r="G30" s="22">
        <v>0.15</v>
      </c>
      <c r="H30" s="45">
        <f>(G30*1150000)</f>
        <v>172500</v>
      </c>
      <c r="I30" s="45">
        <v>1390000</v>
      </c>
      <c r="J30" s="44">
        <f>(D30+F30+H30)*3%</f>
        <v>91077</v>
      </c>
      <c r="K30" s="44">
        <f>(D30+F30+H30)*17.5%</f>
        <v>531282.5</v>
      </c>
      <c r="L30" s="44">
        <f>J30+K30</f>
        <v>622359.5</v>
      </c>
      <c r="M30" s="44">
        <f>(D30+F30+H30)*1.5%</f>
        <v>45538.5</v>
      </c>
      <c r="N30" s="44">
        <f>(D30+F30+H30)*8%</f>
        <v>242872</v>
      </c>
      <c r="O30" s="44">
        <f>M30+N30</f>
        <v>288410.5</v>
      </c>
      <c r="P30" s="44"/>
      <c r="Q30" s="44"/>
      <c r="R30" s="44"/>
      <c r="S30" s="23"/>
      <c r="T30" s="23"/>
    </row>
    <row r="31" spans="1:20" ht="15.75">
      <c r="A31" s="16"/>
      <c r="B31" s="23" t="s">
        <v>4</v>
      </c>
      <c r="C31" s="24">
        <f>C32</f>
        <v>2.25</v>
      </c>
      <c r="D31" s="46">
        <f>D32</f>
        <v>3127500</v>
      </c>
      <c r="E31" s="13">
        <f>E32</f>
        <v>0</v>
      </c>
      <c r="F31" s="9"/>
      <c r="G31" s="11">
        <f>G32</f>
        <v>0</v>
      </c>
      <c r="H31" s="13">
        <f>H32</f>
        <v>0</v>
      </c>
      <c r="I31" s="45">
        <v>1390000</v>
      </c>
      <c r="J31" s="46">
        <f aca="true" t="shared" si="14" ref="J31:O31">J32</f>
        <v>93825</v>
      </c>
      <c r="K31" s="46">
        <f t="shared" si="14"/>
        <v>547312.5</v>
      </c>
      <c r="L31" s="46">
        <f t="shared" si="14"/>
        <v>641137.5</v>
      </c>
      <c r="M31" s="46">
        <f t="shared" si="14"/>
        <v>46912.5</v>
      </c>
      <c r="N31" s="46">
        <f t="shared" si="14"/>
        <v>250200</v>
      </c>
      <c r="O31" s="46">
        <f t="shared" si="14"/>
        <v>297112.5</v>
      </c>
      <c r="P31" s="46"/>
      <c r="Q31" s="46"/>
      <c r="R31" s="46"/>
      <c r="S31" s="46"/>
      <c r="T31" s="18"/>
    </row>
    <row r="32" spans="1:20" ht="15.75">
      <c r="A32" s="16">
        <v>17</v>
      </c>
      <c r="B32" s="18" t="s">
        <v>122</v>
      </c>
      <c r="C32" s="22">
        <v>2.25</v>
      </c>
      <c r="D32" s="44">
        <f>C32*I32</f>
        <v>3127500</v>
      </c>
      <c r="E32" s="12"/>
      <c r="F32" s="9"/>
      <c r="G32" s="22"/>
      <c r="H32" s="45">
        <f>(G32*1150000)</f>
        <v>0</v>
      </c>
      <c r="I32" s="45">
        <v>1390000</v>
      </c>
      <c r="J32" s="44">
        <f>(D32+F32+H32)*3%</f>
        <v>93825</v>
      </c>
      <c r="K32" s="44">
        <f>(D32+F32+H32)*17.5%</f>
        <v>547312.5</v>
      </c>
      <c r="L32" s="44">
        <f>J32+K32</f>
        <v>641137.5</v>
      </c>
      <c r="M32" s="44">
        <f>(D32+F32+H32)*1.5%</f>
        <v>46912.5</v>
      </c>
      <c r="N32" s="44">
        <f>(D32+F32+H32)*8%</f>
        <v>250200</v>
      </c>
      <c r="O32" s="44">
        <f>M32+N32</f>
        <v>297112.5</v>
      </c>
      <c r="P32" s="44"/>
      <c r="Q32" s="44"/>
      <c r="R32" s="44"/>
      <c r="S32" s="44"/>
      <c r="T32" s="18"/>
    </row>
    <row r="33" spans="1:20" ht="20.25" customHeight="1">
      <c r="A33" s="16"/>
      <c r="B33" s="23" t="s">
        <v>5</v>
      </c>
      <c r="C33" s="24">
        <f>C34</f>
        <v>1.86</v>
      </c>
      <c r="D33" s="46">
        <f>D34</f>
        <v>2585400</v>
      </c>
      <c r="E33" s="13">
        <f>E34</f>
        <v>0</v>
      </c>
      <c r="F33" s="9"/>
      <c r="G33" s="11">
        <f>G34</f>
        <v>0.15</v>
      </c>
      <c r="H33" s="13">
        <f>H34</f>
        <v>172500</v>
      </c>
      <c r="I33" s="45">
        <v>1390000</v>
      </c>
      <c r="J33" s="42">
        <f aca="true" t="shared" si="15" ref="J33:O33">J34</f>
        <v>82737</v>
      </c>
      <c r="K33" s="42">
        <f t="shared" si="15"/>
        <v>482632.49999999994</v>
      </c>
      <c r="L33" s="42">
        <f t="shared" si="15"/>
        <v>565369.5</v>
      </c>
      <c r="M33" s="42">
        <f t="shared" si="15"/>
        <v>41368.5</v>
      </c>
      <c r="N33" s="42">
        <f t="shared" si="15"/>
        <v>220632</v>
      </c>
      <c r="O33" s="42">
        <f t="shared" si="15"/>
        <v>262000.5</v>
      </c>
      <c r="P33" s="42"/>
      <c r="Q33" s="42"/>
      <c r="R33" s="42"/>
      <c r="S33" s="23"/>
      <c r="T33" s="23"/>
    </row>
    <row r="34" spans="1:20" ht="20.25" customHeight="1">
      <c r="A34" s="16">
        <v>18</v>
      </c>
      <c r="B34" s="18" t="s">
        <v>133</v>
      </c>
      <c r="C34" s="22">
        <v>1.86</v>
      </c>
      <c r="D34" s="44">
        <f>C34*I34</f>
        <v>2585400</v>
      </c>
      <c r="E34" s="10"/>
      <c r="F34" s="9"/>
      <c r="G34" s="22">
        <v>0.15</v>
      </c>
      <c r="H34" s="45">
        <f>(G34*1150000)</f>
        <v>172500</v>
      </c>
      <c r="I34" s="45">
        <v>1390000</v>
      </c>
      <c r="J34" s="44">
        <f>(D34+F34+H34)*3%</f>
        <v>82737</v>
      </c>
      <c r="K34" s="44">
        <f>(D34+F34+H34)*17.5%</f>
        <v>482632.49999999994</v>
      </c>
      <c r="L34" s="44">
        <f>J34+K34</f>
        <v>565369.5</v>
      </c>
      <c r="M34" s="44">
        <f>(D34+F34+H34)*1.5%</f>
        <v>41368.5</v>
      </c>
      <c r="N34" s="44">
        <f>(D34+F34+H34)*8%</f>
        <v>220632</v>
      </c>
      <c r="O34" s="44">
        <f>M34+N34</f>
        <v>262000.5</v>
      </c>
      <c r="P34" s="44"/>
      <c r="Q34" s="44"/>
      <c r="R34" s="44"/>
      <c r="S34" s="23"/>
      <c r="T34" s="23"/>
    </row>
    <row r="35" spans="1:20" ht="20.25" customHeight="1">
      <c r="A35" s="16"/>
      <c r="B35" s="23" t="s">
        <v>6</v>
      </c>
      <c r="C35" s="25">
        <f>C36</f>
        <v>2.25</v>
      </c>
      <c r="D35" s="46">
        <f>D36</f>
        <v>3127500</v>
      </c>
      <c r="E35" s="13">
        <f>E36</f>
        <v>0</v>
      </c>
      <c r="F35" s="9"/>
      <c r="G35" s="13">
        <f>G36</f>
        <v>0</v>
      </c>
      <c r="H35" s="46"/>
      <c r="I35" s="45">
        <v>1390000</v>
      </c>
      <c r="J35" s="46">
        <f aca="true" t="shared" si="16" ref="J35:O35">J36</f>
        <v>93825</v>
      </c>
      <c r="K35" s="46">
        <f t="shared" si="16"/>
        <v>547312.5</v>
      </c>
      <c r="L35" s="46">
        <f t="shared" si="16"/>
        <v>641137.5</v>
      </c>
      <c r="M35" s="46">
        <f t="shared" si="16"/>
        <v>46912.5</v>
      </c>
      <c r="N35" s="46">
        <f t="shared" si="16"/>
        <v>250200</v>
      </c>
      <c r="O35" s="46">
        <f t="shared" si="16"/>
        <v>297112.5</v>
      </c>
      <c r="P35" s="46"/>
      <c r="Q35" s="46"/>
      <c r="R35" s="46"/>
      <c r="S35" s="23"/>
      <c r="T35" s="23"/>
    </row>
    <row r="36" spans="1:20" ht="20.25" customHeight="1">
      <c r="A36" s="16">
        <v>19</v>
      </c>
      <c r="B36" s="18" t="s">
        <v>124</v>
      </c>
      <c r="C36" s="22">
        <v>2.25</v>
      </c>
      <c r="D36" s="44">
        <f>C36*I36</f>
        <v>3127500</v>
      </c>
      <c r="E36" s="10"/>
      <c r="F36" s="9"/>
      <c r="G36" s="10"/>
      <c r="H36" s="46"/>
      <c r="I36" s="45">
        <v>1390000</v>
      </c>
      <c r="J36" s="44">
        <f>(D36+F36+H36)*3%</f>
        <v>93825</v>
      </c>
      <c r="K36" s="44">
        <f>(D36+F36+H36)*17.5%</f>
        <v>547312.5</v>
      </c>
      <c r="L36" s="44">
        <f>J36+K36</f>
        <v>641137.5</v>
      </c>
      <c r="M36" s="44">
        <f>(D36+F36+H36)*1.5%</f>
        <v>46912.5</v>
      </c>
      <c r="N36" s="44">
        <f>(D36+F36+H36)*8%</f>
        <v>250200</v>
      </c>
      <c r="O36" s="44">
        <f>M36+N36</f>
        <v>297112.5</v>
      </c>
      <c r="P36" s="44"/>
      <c r="Q36" s="44"/>
      <c r="R36" s="44"/>
      <c r="S36" s="23"/>
      <c r="T36" s="23"/>
    </row>
    <row r="37" spans="1:20" ht="20.25" customHeight="1">
      <c r="A37" s="16"/>
      <c r="B37" s="23" t="s">
        <v>2</v>
      </c>
      <c r="C37" s="25">
        <f aca="true" t="shared" si="17" ref="C37:H37">C38+C39</f>
        <v>5.52</v>
      </c>
      <c r="D37" s="46">
        <f t="shared" si="17"/>
        <v>7672800</v>
      </c>
      <c r="E37" s="11">
        <f t="shared" si="17"/>
        <v>0</v>
      </c>
      <c r="F37" s="46">
        <f t="shared" si="17"/>
        <v>0</v>
      </c>
      <c r="G37" s="11">
        <f t="shared" si="17"/>
        <v>0.55</v>
      </c>
      <c r="H37" s="13">
        <f t="shared" si="17"/>
        <v>764500</v>
      </c>
      <c r="I37" s="45">
        <v>1390000</v>
      </c>
      <c r="J37" s="46">
        <f aca="true" t="shared" si="18" ref="J37:O37">J38+J39</f>
        <v>253119</v>
      </c>
      <c r="K37" s="46">
        <f t="shared" si="18"/>
        <v>1476527.5</v>
      </c>
      <c r="L37" s="46">
        <f t="shared" si="18"/>
        <v>1729646.5</v>
      </c>
      <c r="M37" s="46">
        <f t="shared" si="18"/>
        <v>126559.5</v>
      </c>
      <c r="N37" s="46">
        <f t="shared" si="18"/>
        <v>674984</v>
      </c>
      <c r="O37" s="46">
        <f t="shared" si="18"/>
        <v>801543.5</v>
      </c>
      <c r="P37" s="46"/>
      <c r="Q37" s="46"/>
      <c r="R37" s="46"/>
      <c r="S37" s="23"/>
      <c r="T37" s="23"/>
    </row>
    <row r="38" spans="1:20" ht="20.25" customHeight="1">
      <c r="A38" s="16">
        <v>20</v>
      </c>
      <c r="B38" s="18" t="s">
        <v>110</v>
      </c>
      <c r="C38" s="22">
        <v>2.66</v>
      </c>
      <c r="D38" s="44">
        <f>C38*I38</f>
        <v>3697400</v>
      </c>
      <c r="E38" s="12"/>
      <c r="F38" s="45"/>
      <c r="G38" s="22">
        <v>0.25</v>
      </c>
      <c r="H38" s="45">
        <f>G38*I38</f>
        <v>347500</v>
      </c>
      <c r="I38" s="45">
        <v>1390000</v>
      </c>
      <c r="J38" s="44">
        <f>(D38+F38+H38)*3%</f>
        <v>121347</v>
      </c>
      <c r="K38" s="44">
        <f>(D38+F38+H38)*17.5%</f>
        <v>707857.5</v>
      </c>
      <c r="L38" s="44">
        <f>J38+K38</f>
        <v>829204.5</v>
      </c>
      <c r="M38" s="44">
        <f>(D38+F38+H38)*1.5%</f>
        <v>60673.5</v>
      </c>
      <c r="N38" s="44">
        <f>(D38+F38+H38)*8%</f>
        <v>323592</v>
      </c>
      <c r="O38" s="44">
        <f>M38+N38</f>
        <v>384265.5</v>
      </c>
      <c r="P38" s="44"/>
      <c r="Q38" s="44"/>
      <c r="R38" s="44"/>
      <c r="S38" s="44"/>
      <c r="T38" s="18"/>
    </row>
    <row r="39" spans="1:20" ht="20.25" customHeight="1">
      <c r="A39" s="16">
        <v>21</v>
      </c>
      <c r="B39" s="18" t="s">
        <v>145</v>
      </c>
      <c r="C39" s="22">
        <v>2.86</v>
      </c>
      <c r="D39" s="44">
        <f>C39*I39</f>
        <v>3975400</v>
      </c>
      <c r="E39" s="12"/>
      <c r="F39" s="9"/>
      <c r="G39" s="22">
        <v>0.3</v>
      </c>
      <c r="H39" s="45">
        <f>G39*I39</f>
        <v>417000</v>
      </c>
      <c r="I39" s="45">
        <v>1390000</v>
      </c>
      <c r="J39" s="44">
        <f>(D39+F39+H39)*3%</f>
        <v>131772</v>
      </c>
      <c r="K39" s="44">
        <f>(D39+F39+H39)*17.5%</f>
        <v>768670</v>
      </c>
      <c r="L39" s="44">
        <f>J39+K39</f>
        <v>900442</v>
      </c>
      <c r="M39" s="44">
        <f>(D39+F39+H39)*1.5%</f>
        <v>65886</v>
      </c>
      <c r="N39" s="44">
        <f>(D39+F39+H39)*8%</f>
        <v>351392</v>
      </c>
      <c r="O39" s="44">
        <f>M39+N39</f>
        <v>417278</v>
      </c>
      <c r="P39" s="44"/>
      <c r="Q39" s="44"/>
      <c r="R39" s="44"/>
      <c r="S39" s="44"/>
      <c r="T39" s="18"/>
    </row>
    <row r="40" spans="1:20" ht="20.25" customHeight="1">
      <c r="A40" s="23"/>
      <c r="B40" s="23" t="s">
        <v>12</v>
      </c>
      <c r="C40" s="27">
        <f>C41</f>
        <v>2.45</v>
      </c>
      <c r="D40" s="46">
        <f>D41</f>
        <v>3405500.0000000005</v>
      </c>
      <c r="E40" s="29">
        <f>E41</f>
        <v>0</v>
      </c>
      <c r="F40" s="29">
        <f>F41</f>
        <v>0</v>
      </c>
      <c r="G40" s="29">
        <f>G41</f>
        <v>0</v>
      </c>
      <c r="H40" s="46"/>
      <c r="I40" s="45">
        <v>1390000</v>
      </c>
      <c r="J40" s="46">
        <f aca="true" t="shared" si="19" ref="J40:O40">J41</f>
        <v>102165.00000000001</v>
      </c>
      <c r="K40" s="46">
        <f t="shared" si="19"/>
        <v>595962.5</v>
      </c>
      <c r="L40" s="46">
        <f t="shared" si="19"/>
        <v>698127.5</v>
      </c>
      <c r="M40" s="46">
        <f t="shared" si="19"/>
        <v>51082.50000000001</v>
      </c>
      <c r="N40" s="46">
        <f t="shared" si="19"/>
        <v>272440.00000000006</v>
      </c>
      <c r="O40" s="46">
        <f t="shared" si="19"/>
        <v>323522.50000000006</v>
      </c>
      <c r="P40" s="46"/>
      <c r="Q40" s="46"/>
      <c r="R40" s="46"/>
      <c r="S40" s="23"/>
      <c r="T40" s="23"/>
    </row>
    <row r="41" spans="1:20" ht="20.25" customHeight="1">
      <c r="A41" s="16">
        <v>22</v>
      </c>
      <c r="B41" s="18" t="s">
        <v>125</v>
      </c>
      <c r="C41" s="26">
        <v>2.45</v>
      </c>
      <c r="D41" s="44">
        <f>C41*I41</f>
        <v>3405500.0000000005</v>
      </c>
      <c r="E41" s="14"/>
      <c r="F41" s="9"/>
      <c r="G41" s="14"/>
      <c r="H41" s="46"/>
      <c r="I41" s="45">
        <v>1390000</v>
      </c>
      <c r="J41" s="44">
        <f>(D41+F41+H41)*3%</f>
        <v>102165.00000000001</v>
      </c>
      <c r="K41" s="44">
        <f>(D41+F41+H41)*17.5%</f>
        <v>595962.5</v>
      </c>
      <c r="L41" s="44">
        <f>J41+K41</f>
        <v>698127.5</v>
      </c>
      <c r="M41" s="44">
        <f>(D41+F41+H41)*1.5%</f>
        <v>51082.50000000001</v>
      </c>
      <c r="N41" s="44">
        <f>(D41+F41+H41)*8%</f>
        <v>272440.00000000006</v>
      </c>
      <c r="O41" s="44">
        <f>M41+N41</f>
        <v>323522.50000000006</v>
      </c>
      <c r="P41" s="44"/>
      <c r="Q41" s="44"/>
      <c r="R41" s="44"/>
      <c r="S41" s="23"/>
      <c r="T41" s="23"/>
    </row>
    <row r="42" spans="1:20" ht="20.25" customHeight="1">
      <c r="A42" s="16"/>
      <c r="B42" s="23" t="s">
        <v>13</v>
      </c>
      <c r="C42" s="8">
        <f aca="true" t="shared" si="20" ref="C42:H42">C8+C25+C27+C29+C31+C33+C35+C37+C40</f>
        <v>52.400000000000006</v>
      </c>
      <c r="D42" s="28">
        <f t="shared" si="20"/>
        <v>72389600</v>
      </c>
      <c r="E42" s="8">
        <f t="shared" si="20"/>
        <v>0</v>
      </c>
      <c r="F42" s="28">
        <f t="shared" si="20"/>
        <v>0</v>
      </c>
      <c r="G42" s="8">
        <f t="shared" si="20"/>
        <v>1.5</v>
      </c>
      <c r="H42" s="28">
        <f t="shared" si="20"/>
        <v>2013000</v>
      </c>
      <c r="I42" s="45"/>
      <c r="J42" s="28">
        <f aca="true" t="shared" si="21" ref="J42:O42">J8+J25+J27+J29+J31+J33+J35+J37+J40</f>
        <v>2232078</v>
      </c>
      <c r="K42" s="28">
        <f t="shared" si="21"/>
        <v>13020455</v>
      </c>
      <c r="L42" s="28">
        <f t="shared" si="21"/>
        <v>15252533</v>
      </c>
      <c r="M42" s="28">
        <f t="shared" si="21"/>
        <v>1116039</v>
      </c>
      <c r="N42" s="28">
        <f t="shared" si="21"/>
        <v>5952208</v>
      </c>
      <c r="O42" s="28">
        <f t="shared" si="21"/>
        <v>7068247</v>
      </c>
      <c r="P42" s="28"/>
      <c r="Q42" s="28"/>
      <c r="R42" s="28"/>
      <c r="S42" s="18"/>
      <c r="T42" s="18"/>
    </row>
    <row r="43" spans="3:15" ht="15.75">
      <c r="C43" s="47">
        <f>C8+C37+D45</f>
        <v>52.68</v>
      </c>
      <c r="D43" s="36">
        <f>C41+C36+C34+C32+C30</f>
        <v>10.870000000000001</v>
      </c>
      <c r="E43" s="48"/>
      <c r="J43" s="156"/>
      <c r="K43" s="156"/>
      <c r="L43" s="52"/>
      <c r="M43" s="156"/>
      <c r="N43" s="156"/>
      <c r="O43" s="58"/>
    </row>
    <row r="44" spans="1:15" ht="15.75">
      <c r="A44" s="158"/>
      <c r="B44" s="158"/>
      <c r="C44" s="8">
        <f>C8+C25+C37+D43+C27</f>
        <v>52.400000000000006</v>
      </c>
      <c r="D44" s="36">
        <f>0.7*6</f>
        <v>4.199999999999999</v>
      </c>
      <c r="E44" s="36"/>
      <c r="F44" s="5"/>
      <c r="G44" s="5"/>
      <c r="H44" s="5"/>
      <c r="I44" s="5"/>
      <c r="J44" s="158"/>
      <c r="K44" s="158"/>
      <c r="L44" s="53"/>
      <c r="M44" s="158"/>
      <c r="N44" s="158"/>
      <c r="O44" s="59"/>
    </row>
    <row r="45" spans="4:6" ht="17.25">
      <c r="D45" s="49">
        <f>SUM(D43:D44)</f>
        <v>15.07</v>
      </c>
      <c r="E45" s="36">
        <f>13.68</f>
        <v>13.68</v>
      </c>
      <c r="F45" s="38">
        <f>D45-E45</f>
        <v>1.3900000000000006</v>
      </c>
    </row>
    <row r="47" ht="15.75">
      <c r="D47" s="6">
        <v>2.76</v>
      </c>
    </row>
    <row r="48" ht="15.75">
      <c r="D48" s="6">
        <v>2.56</v>
      </c>
    </row>
    <row r="49" ht="15.75">
      <c r="D49" s="6">
        <v>2.56</v>
      </c>
    </row>
    <row r="50" ht="15.75">
      <c r="D50" s="6">
        <v>2.45</v>
      </c>
    </row>
    <row r="51" ht="15.75">
      <c r="D51" s="6">
        <v>3.35</v>
      </c>
    </row>
    <row r="53" ht="15.75">
      <c r="D53" s="50">
        <f>SUM(D47:D52)</f>
        <v>13.680000000000001</v>
      </c>
    </row>
  </sheetData>
  <sheetProtection/>
  <mergeCells count="24">
    <mergeCell ref="A1:T1"/>
    <mergeCell ref="P4:P6"/>
    <mergeCell ref="Q4:Q6"/>
    <mergeCell ref="R4:R6"/>
    <mergeCell ref="S4:S6"/>
    <mergeCell ref="A2:T2"/>
    <mergeCell ref="A4:A6"/>
    <mergeCell ref="B4:B6"/>
    <mergeCell ref="C4:D4"/>
    <mergeCell ref="E4:F4"/>
    <mergeCell ref="T4:T6"/>
    <mergeCell ref="C5:C6"/>
    <mergeCell ref="M4:O5"/>
    <mergeCell ref="D5:D6"/>
    <mergeCell ref="E5:F5"/>
    <mergeCell ref="G5:H5"/>
    <mergeCell ref="J4:L5"/>
    <mergeCell ref="I4:I6"/>
    <mergeCell ref="M43:N43"/>
    <mergeCell ref="G4:H4"/>
    <mergeCell ref="A44:B44"/>
    <mergeCell ref="J44:K44"/>
    <mergeCell ref="M44:N44"/>
    <mergeCell ref="J43:K43"/>
  </mergeCells>
  <printOptions horizontalCentered="1"/>
  <pageMargins left="0.25" right="0.25" top="0.5" bottom="0.5" header="0.39" footer="0.5"/>
  <pageSetup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3"/>
  <sheetViews>
    <sheetView view="pageBreakPreview" zoomScale="90" zoomScaleNormal="90" zoomScaleSheetLayoutView="90" zoomScalePageLayoutView="0" workbookViewId="0" topLeftCell="A23">
      <selection activeCell="K42" sqref="K42"/>
    </sheetView>
  </sheetViews>
  <sheetFormatPr defaultColWidth="9.00390625" defaultRowHeight="15.75"/>
  <cols>
    <col min="1" max="1" width="3.50390625" style="6" customWidth="1"/>
    <col min="2" max="2" width="15.875" style="6" customWidth="1"/>
    <col min="3" max="3" width="8.00390625" style="6" customWidth="1"/>
    <col min="4" max="4" width="10.875" style="6" customWidth="1"/>
    <col min="5" max="5" width="6.00390625" style="7" customWidth="1"/>
    <col min="6" max="6" width="8.75390625" style="6" customWidth="1"/>
    <col min="7" max="7" width="6.625" style="7" customWidth="1"/>
    <col min="8" max="9" width="9.625" style="6" customWidth="1"/>
    <col min="10" max="10" width="11.125" style="6" customWidth="1"/>
    <col min="11" max="11" width="11.375" style="6" customWidth="1"/>
    <col min="12" max="12" width="11.125" style="51" customWidth="1"/>
    <col min="13" max="13" width="11.00390625" style="6" customWidth="1"/>
    <col min="14" max="14" width="11.50390625" style="6" customWidth="1"/>
    <col min="15" max="15" width="11.00390625" style="56" customWidth="1"/>
    <col min="16" max="16" width="10.875" style="6" customWidth="1"/>
    <col min="17" max="17" width="8.50390625" style="6" customWidth="1"/>
    <col min="18" max="19" width="11.00390625" style="6" customWidth="1"/>
    <col min="20" max="20" width="10.375" style="6" customWidth="1"/>
    <col min="21" max="21" width="11.125" style="6" bestFit="1" customWidth="1"/>
    <col min="22" max="16384" width="9.00390625" style="6" customWidth="1"/>
  </cols>
  <sheetData>
    <row r="1" spans="1:22" ht="21.75" customHeight="1">
      <c r="A1" s="158" t="s">
        <v>106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37"/>
      <c r="V1" s="37"/>
    </row>
    <row r="2" spans="1:20" ht="16.5" customHeight="1">
      <c r="A2" s="158" t="s">
        <v>214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15" ht="15.75">
      <c r="A3" s="6" t="s">
        <v>53</v>
      </c>
      <c r="D3" s="38"/>
      <c r="E3" s="39"/>
      <c r="F3" s="40"/>
      <c r="L3" s="6"/>
      <c r="O3" s="6"/>
    </row>
    <row r="4" spans="1:20" ht="15.75" customHeight="1">
      <c r="A4" s="171" t="s">
        <v>14</v>
      </c>
      <c r="B4" s="171" t="s">
        <v>24</v>
      </c>
      <c r="C4" s="174" t="s">
        <v>7</v>
      </c>
      <c r="D4" s="175"/>
      <c r="E4" s="157"/>
      <c r="F4" s="157"/>
      <c r="G4" s="157"/>
      <c r="H4" s="157"/>
      <c r="I4" s="159" t="s">
        <v>31</v>
      </c>
      <c r="J4" s="162" t="s">
        <v>22</v>
      </c>
      <c r="K4" s="163"/>
      <c r="L4" s="164"/>
      <c r="M4" s="162" t="s">
        <v>21</v>
      </c>
      <c r="N4" s="163"/>
      <c r="O4" s="164"/>
      <c r="P4" s="159" t="s">
        <v>29</v>
      </c>
      <c r="Q4" s="159" t="s">
        <v>30</v>
      </c>
      <c r="R4" s="159" t="s">
        <v>32</v>
      </c>
      <c r="S4" s="159" t="s">
        <v>33</v>
      </c>
      <c r="T4" s="159" t="s">
        <v>16</v>
      </c>
    </row>
    <row r="5" spans="1:20" ht="30" customHeight="1">
      <c r="A5" s="172"/>
      <c r="B5" s="172"/>
      <c r="C5" s="159" t="s">
        <v>9</v>
      </c>
      <c r="D5" s="159" t="s">
        <v>8</v>
      </c>
      <c r="E5" s="168" t="s">
        <v>23</v>
      </c>
      <c r="F5" s="169"/>
      <c r="G5" s="168" t="s">
        <v>10</v>
      </c>
      <c r="H5" s="170"/>
      <c r="I5" s="160"/>
      <c r="J5" s="165"/>
      <c r="K5" s="166"/>
      <c r="L5" s="167"/>
      <c r="M5" s="165"/>
      <c r="N5" s="166"/>
      <c r="O5" s="167"/>
      <c r="P5" s="160"/>
      <c r="Q5" s="160"/>
      <c r="R5" s="160"/>
      <c r="S5" s="160"/>
      <c r="T5" s="160"/>
    </row>
    <row r="6" spans="1:20" ht="79.5" customHeight="1">
      <c r="A6" s="173"/>
      <c r="B6" s="173"/>
      <c r="C6" s="161"/>
      <c r="D6" s="161"/>
      <c r="E6" s="2" t="s">
        <v>11</v>
      </c>
      <c r="F6" s="2" t="s">
        <v>8</v>
      </c>
      <c r="G6" s="2" t="s">
        <v>11</v>
      </c>
      <c r="H6" s="30" t="s">
        <v>8</v>
      </c>
      <c r="I6" s="161"/>
      <c r="J6" s="3" t="s">
        <v>17</v>
      </c>
      <c r="K6" s="3" t="s">
        <v>222</v>
      </c>
      <c r="L6" s="4" t="s">
        <v>13</v>
      </c>
      <c r="M6" s="3" t="s">
        <v>18</v>
      </c>
      <c r="N6" s="3" t="s">
        <v>19</v>
      </c>
      <c r="O6" s="57" t="s">
        <v>13</v>
      </c>
      <c r="P6" s="160"/>
      <c r="Q6" s="161"/>
      <c r="R6" s="161"/>
      <c r="S6" s="161"/>
      <c r="T6" s="161"/>
    </row>
    <row r="7" spans="1:20" ht="18.75" customHeight="1">
      <c r="A7" s="54" t="s">
        <v>34</v>
      </c>
      <c r="B7" s="54" t="s">
        <v>35</v>
      </c>
      <c r="C7" s="54" t="s">
        <v>36</v>
      </c>
      <c r="D7" s="54" t="s">
        <v>37</v>
      </c>
      <c r="E7" s="54" t="s">
        <v>38</v>
      </c>
      <c r="F7" s="54" t="s">
        <v>39</v>
      </c>
      <c r="G7" s="54" t="s">
        <v>40</v>
      </c>
      <c r="H7" s="54" t="s">
        <v>41</v>
      </c>
      <c r="I7" s="54" t="s">
        <v>42</v>
      </c>
      <c r="J7" s="55" t="s">
        <v>43</v>
      </c>
      <c r="K7" s="55" t="s">
        <v>44</v>
      </c>
      <c r="L7" s="55" t="s">
        <v>45</v>
      </c>
      <c r="M7" s="55" t="s">
        <v>46</v>
      </c>
      <c r="N7" s="55" t="s">
        <v>47</v>
      </c>
      <c r="O7" s="55" t="s">
        <v>48</v>
      </c>
      <c r="P7" s="55" t="s">
        <v>15</v>
      </c>
      <c r="Q7" s="54" t="s">
        <v>49</v>
      </c>
      <c r="R7" s="54" t="s">
        <v>50</v>
      </c>
      <c r="S7" s="54" t="s">
        <v>51</v>
      </c>
      <c r="T7" s="54" t="s">
        <v>52</v>
      </c>
    </row>
    <row r="8" spans="1:20" ht="15.75">
      <c r="A8" s="16"/>
      <c r="B8" s="17" t="s">
        <v>0</v>
      </c>
      <c r="C8" s="41">
        <f aca="true" t="shared" si="0" ref="C8:H8">SUM(C9:C24)</f>
        <v>32.62</v>
      </c>
      <c r="D8" s="42">
        <f t="shared" si="0"/>
        <v>45341800</v>
      </c>
      <c r="E8" s="64">
        <f t="shared" si="0"/>
        <v>0</v>
      </c>
      <c r="F8" s="42">
        <f t="shared" si="0"/>
        <v>0</v>
      </c>
      <c r="G8" s="15">
        <f t="shared" si="0"/>
        <v>0.65</v>
      </c>
      <c r="H8" s="9">
        <f t="shared" si="0"/>
        <v>903500</v>
      </c>
      <c r="I8" s="9"/>
      <c r="J8" s="42">
        <f aca="true" t="shared" si="1" ref="J8:O8">SUM(J9:J24)</f>
        <v>1387359</v>
      </c>
      <c r="K8" s="42">
        <f t="shared" si="1"/>
        <v>8092927.5</v>
      </c>
      <c r="L8" s="42">
        <f t="shared" si="1"/>
        <v>9480286.5</v>
      </c>
      <c r="M8" s="42">
        <f t="shared" si="1"/>
        <v>693679.5</v>
      </c>
      <c r="N8" s="42">
        <f t="shared" si="1"/>
        <v>3699624</v>
      </c>
      <c r="O8" s="42">
        <f t="shared" si="1"/>
        <v>4393303.5</v>
      </c>
      <c r="P8" s="42"/>
      <c r="Q8" s="42"/>
      <c r="R8" s="42"/>
      <c r="S8" s="43"/>
      <c r="T8" s="16"/>
    </row>
    <row r="9" spans="1:20" ht="15.75">
      <c r="A9" s="21" t="s">
        <v>34</v>
      </c>
      <c r="B9" s="1" t="s">
        <v>108</v>
      </c>
      <c r="C9" s="22">
        <v>2.46</v>
      </c>
      <c r="D9" s="44">
        <f>C9*I9</f>
        <v>3419400</v>
      </c>
      <c r="E9" s="78"/>
      <c r="F9" s="45"/>
      <c r="G9" s="22">
        <v>0.25</v>
      </c>
      <c r="H9" s="45">
        <f>G9*I9</f>
        <v>347500</v>
      </c>
      <c r="I9" s="45">
        <v>1390000</v>
      </c>
      <c r="J9" s="44">
        <f aca="true" t="shared" si="2" ref="J9:J22">(D9+F9+H9)*3%</f>
        <v>113007</v>
      </c>
      <c r="K9" s="44">
        <f>(D9+F9+H9)*17.5%</f>
        <v>659207.5</v>
      </c>
      <c r="L9" s="44">
        <f aca="true" t="shared" si="3" ref="L9:L22">J9+K9</f>
        <v>772214.5</v>
      </c>
      <c r="M9" s="44">
        <f aca="true" t="shared" si="4" ref="M9:M22">(D9+F9+H9)*1.5%</f>
        <v>56503.5</v>
      </c>
      <c r="N9" s="44">
        <f aca="true" t="shared" si="5" ref="N9:N22">(D9+F9+H9)*8%</f>
        <v>301352</v>
      </c>
      <c r="O9" s="44">
        <f aca="true" t="shared" si="6" ref="O9:O22">M9+N9</f>
        <v>357855.5</v>
      </c>
      <c r="P9" s="44"/>
      <c r="Q9" s="44"/>
      <c r="R9" s="44"/>
      <c r="S9" s="16"/>
      <c r="T9" s="16"/>
    </row>
    <row r="10" spans="1:20" s="105" customFormat="1" ht="15.75">
      <c r="A10" s="100" t="s">
        <v>35</v>
      </c>
      <c r="B10" s="101" t="s">
        <v>109</v>
      </c>
      <c r="C10" s="102">
        <v>2.66</v>
      </c>
      <c r="D10" s="103">
        <f aca="true" t="shared" si="7" ref="D10:D22">C10*I10</f>
        <v>3697400</v>
      </c>
      <c r="E10" s="106"/>
      <c r="F10" s="104">
        <f aca="true" t="shared" si="8" ref="F10:F22">(E10*1150000)</f>
        <v>0</v>
      </c>
      <c r="G10" s="102">
        <v>0.2</v>
      </c>
      <c r="H10" s="104">
        <f>G10*I10</f>
        <v>278000</v>
      </c>
      <c r="I10" s="104">
        <v>1390000</v>
      </c>
      <c r="J10" s="103">
        <f t="shared" si="2"/>
        <v>119262</v>
      </c>
      <c r="K10" s="44">
        <f aca="true" t="shared" si="9" ref="K10:K22">(D10+F10+H10)*17.5%</f>
        <v>695695</v>
      </c>
      <c r="L10" s="103">
        <f t="shared" si="3"/>
        <v>814957</v>
      </c>
      <c r="M10" s="103">
        <f t="shared" si="4"/>
        <v>59631</v>
      </c>
      <c r="N10" s="103">
        <f t="shared" si="5"/>
        <v>318032</v>
      </c>
      <c r="O10" s="103">
        <f t="shared" si="6"/>
        <v>377663</v>
      </c>
      <c r="P10" s="103"/>
      <c r="Q10" s="103"/>
      <c r="R10" s="103"/>
      <c r="S10" s="101"/>
      <c r="T10" s="101"/>
    </row>
    <row r="11" spans="1:20" ht="15.75">
      <c r="A11" s="21"/>
      <c r="B11" s="18"/>
      <c r="C11" s="22"/>
      <c r="D11" s="44">
        <f t="shared" si="7"/>
        <v>0</v>
      </c>
      <c r="E11" s="22"/>
      <c r="F11" s="45">
        <f t="shared" si="8"/>
        <v>0</v>
      </c>
      <c r="G11" s="22"/>
      <c r="H11" s="45"/>
      <c r="I11" s="45"/>
      <c r="J11" s="44">
        <f t="shared" si="2"/>
        <v>0</v>
      </c>
      <c r="K11" s="44">
        <f t="shared" si="9"/>
        <v>0</v>
      </c>
      <c r="L11" s="44">
        <f t="shared" si="3"/>
        <v>0</v>
      </c>
      <c r="M11" s="44">
        <f t="shared" si="4"/>
        <v>0</v>
      </c>
      <c r="N11" s="44">
        <f t="shared" si="5"/>
        <v>0</v>
      </c>
      <c r="O11" s="44">
        <f t="shared" si="6"/>
        <v>0</v>
      </c>
      <c r="P11" s="44"/>
      <c r="Q11" s="44"/>
      <c r="R11" s="44"/>
      <c r="S11" s="18"/>
      <c r="T11" s="18"/>
    </row>
    <row r="12" spans="1:20" s="105" customFormat="1" ht="15.75">
      <c r="A12" s="100">
        <v>3</v>
      </c>
      <c r="B12" s="101" t="s">
        <v>111</v>
      </c>
      <c r="C12" s="102">
        <v>2.67</v>
      </c>
      <c r="D12" s="103">
        <f t="shared" si="7"/>
        <v>3711300</v>
      </c>
      <c r="E12" s="106"/>
      <c r="F12" s="104">
        <f t="shared" si="8"/>
        <v>0</v>
      </c>
      <c r="G12" s="102">
        <v>0.2</v>
      </c>
      <c r="H12" s="104">
        <f>G12*I12</f>
        <v>278000</v>
      </c>
      <c r="I12" s="104">
        <v>1390000</v>
      </c>
      <c r="J12" s="103">
        <f t="shared" si="2"/>
        <v>119679</v>
      </c>
      <c r="K12" s="44">
        <f t="shared" si="9"/>
        <v>698127.5</v>
      </c>
      <c r="L12" s="103">
        <f t="shared" si="3"/>
        <v>817806.5</v>
      </c>
      <c r="M12" s="103">
        <f t="shared" si="4"/>
        <v>59839.5</v>
      </c>
      <c r="N12" s="103">
        <f t="shared" si="5"/>
        <v>319144</v>
      </c>
      <c r="O12" s="103">
        <f t="shared" si="6"/>
        <v>378983.5</v>
      </c>
      <c r="P12" s="103"/>
      <c r="Q12" s="103"/>
      <c r="R12" s="103"/>
      <c r="S12" s="101"/>
      <c r="T12" s="101"/>
    </row>
    <row r="13" spans="1:20" ht="15.75">
      <c r="A13" s="21">
        <v>4</v>
      </c>
      <c r="B13" s="18" t="s">
        <v>112</v>
      </c>
      <c r="C13" s="22">
        <v>3</v>
      </c>
      <c r="D13" s="44">
        <f t="shared" si="7"/>
        <v>4170000</v>
      </c>
      <c r="E13" s="12"/>
      <c r="F13" s="45">
        <f t="shared" si="8"/>
        <v>0</v>
      </c>
      <c r="G13" s="22"/>
      <c r="H13" s="45">
        <f>G13*I13</f>
        <v>0</v>
      </c>
      <c r="I13" s="45">
        <v>1390000</v>
      </c>
      <c r="J13" s="44">
        <f t="shared" si="2"/>
        <v>125100</v>
      </c>
      <c r="K13" s="44">
        <f t="shared" si="9"/>
        <v>729750</v>
      </c>
      <c r="L13" s="44">
        <f t="shared" si="3"/>
        <v>854850</v>
      </c>
      <c r="M13" s="44">
        <f t="shared" si="4"/>
        <v>62550</v>
      </c>
      <c r="N13" s="44">
        <f t="shared" si="5"/>
        <v>333600</v>
      </c>
      <c r="O13" s="44">
        <f t="shared" si="6"/>
        <v>396150</v>
      </c>
      <c r="P13" s="44"/>
      <c r="Q13" s="44"/>
      <c r="R13" s="44"/>
      <c r="S13" s="18"/>
      <c r="T13" s="18"/>
    </row>
    <row r="14" spans="1:20" s="116" customFormat="1" ht="15.75">
      <c r="A14" s="110">
        <v>5</v>
      </c>
      <c r="B14" s="111" t="s">
        <v>113</v>
      </c>
      <c r="C14" s="112">
        <v>2.26</v>
      </c>
      <c r="D14" s="113">
        <f t="shared" si="7"/>
        <v>3141399.9999999995</v>
      </c>
      <c r="E14" s="119"/>
      <c r="F14" s="114">
        <f t="shared" si="8"/>
        <v>0</v>
      </c>
      <c r="G14" s="112"/>
      <c r="H14" s="114">
        <f aca="true" t="shared" si="10" ref="H14:H22">(G14*1150000)</f>
        <v>0</v>
      </c>
      <c r="I14" s="114">
        <v>1390000</v>
      </c>
      <c r="J14" s="113">
        <f t="shared" si="2"/>
        <v>94241.99999999999</v>
      </c>
      <c r="K14" s="44">
        <f t="shared" si="9"/>
        <v>549744.9999999999</v>
      </c>
      <c r="L14" s="113">
        <f t="shared" si="3"/>
        <v>643986.9999999999</v>
      </c>
      <c r="M14" s="113">
        <f t="shared" si="4"/>
        <v>47120.99999999999</v>
      </c>
      <c r="N14" s="113">
        <f t="shared" si="5"/>
        <v>251311.99999999997</v>
      </c>
      <c r="O14" s="113">
        <f t="shared" si="6"/>
        <v>298432.99999999994</v>
      </c>
      <c r="P14" s="113"/>
      <c r="Q14" s="113"/>
      <c r="R14" s="113"/>
      <c r="S14" s="111"/>
      <c r="T14" s="111"/>
    </row>
    <row r="15" spans="1:20" ht="15.75">
      <c r="A15" s="21">
        <v>6</v>
      </c>
      <c r="B15" s="18" t="s">
        <v>114</v>
      </c>
      <c r="C15" s="22">
        <v>2.86</v>
      </c>
      <c r="D15" s="44">
        <f t="shared" si="7"/>
        <v>3975400</v>
      </c>
      <c r="E15" s="12"/>
      <c r="F15" s="45">
        <f t="shared" si="8"/>
        <v>0</v>
      </c>
      <c r="G15" s="22"/>
      <c r="H15" s="45">
        <f t="shared" si="10"/>
        <v>0</v>
      </c>
      <c r="I15" s="45">
        <v>1390000</v>
      </c>
      <c r="J15" s="44">
        <f t="shared" si="2"/>
        <v>119262</v>
      </c>
      <c r="K15" s="44">
        <f t="shared" si="9"/>
        <v>695695</v>
      </c>
      <c r="L15" s="44">
        <f t="shared" si="3"/>
        <v>814957</v>
      </c>
      <c r="M15" s="44">
        <f t="shared" si="4"/>
        <v>59631</v>
      </c>
      <c r="N15" s="44">
        <f t="shared" si="5"/>
        <v>318032</v>
      </c>
      <c r="O15" s="44">
        <f t="shared" si="6"/>
        <v>377663</v>
      </c>
      <c r="P15" s="44"/>
      <c r="Q15" s="44"/>
      <c r="R15" s="44"/>
      <c r="S15" s="18"/>
      <c r="T15" s="18"/>
    </row>
    <row r="16" spans="1:20" ht="15.75">
      <c r="A16" s="21">
        <v>7</v>
      </c>
      <c r="B16" s="18" t="s">
        <v>115</v>
      </c>
      <c r="C16" s="22">
        <v>2.46</v>
      </c>
      <c r="D16" s="44">
        <f t="shared" si="7"/>
        <v>3419400</v>
      </c>
      <c r="E16" s="12"/>
      <c r="F16" s="45">
        <f t="shared" si="8"/>
        <v>0</v>
      </c>
      <c r="G16" s="22"/>
      <c r="H16" s="45">
        <f t="shared" si="10"/>
        <v>0</v>
      </c>
      <c r="I16" s="45">
        <v>1390000</v>
      </c>
      <c r="J16" s="44">
        <f t="shared" si="2"/>
        <v>102582</v>
      </c>
      <c r="K16" s="44">
        <f t="shared" si="9"/>
        <v>598395</v>
      </c>
      <c r="L16" s="44">
        <f t="shared" si="3"/>
        <v>700977</v>
      </c>
      <c r="M16" s="44">
        <f t="shared" si="4"/>
        <v>51291</v>
      </c>
      <c r="N16" s="44">
        <f t="shared" si="5"/>
        <v>273552</v>
      </c>
      <c r="O16" s="44">
        <f t="shared" si="6"/>
        <v>324843</v>
      </c>
      <c r="P16" s="44"/>
      <c r="Q16" s="44"/>
      <c r="R16" s="44"/>
      <c r="S16" s="18"/>
      <c r="T16" s="18"/>
    </row>
    <row r="17" spans="1:20" ht="15.75">
      <c r="A17" s="21">
        <v>8</v>
      </c>
      <c r="B17" s="18" t="s">
        <v>147</v>
      </c>
      <c r="C17" s="22">
        <v>2.34</v>
      </c>
      <c r="D17" s="44">
        <f t="shared" si="7"/>
        <v>3252600</v>
      </c>
      <c r="E17" s="12"/>
      <c r="F17" s="45">
        <f t="shared" si="8"/>
        <v>0</v>
      </c>
      <c r="G17" s="22"/>
      <c r="H17" s="45">
        <f t="shared" si="10"/>
        <v>0</v>
      </c>
      <c r="I17" s="45">
        <v>1390000</v>
      </c>
      <c r="J17" s="44">
        <f t="shared" si="2"/>
        <v>97578</v>
      </c>
      <c r="K17" s="44">
        <f t="shared" si="9"/>
        <v>569205</v>
      </c>
      <c r="L17" s="44">
        <f t="shared" si="3"/>
        <v>666783</v>
      </c>
      <c r="M17" s="44">
        <f t="shared" si="4"/>
        <v>48789</v>
      </c>
      <c r="N17" s="44">
        <f t="shared" si="5"/>
        <v>260208</v>
      </c>
      <c r="O17" s="44">
        <f t="shared" si="6"/>
        <v>308997</v>
      </c>
      <c r="P17" s="44"/>
      <c r="Q17" s="44"/>
      <c r="R17" s="44"/>
      <c r="S17" s="18"/>
      <c r="T17" s="18"/>
    </row>
    <row r="18" spans="1:20" ht="15.75">
      <c r="A18" s="21">
        <v>9</v>
      </c>
      <c r="B18" s="18" t="s">
        <v>116</v>
      </c>
      <c r="C18" s="22">
        <v>2.26</v>
      </c>
      <c r="D18" s="44">
        <f t="shared" si="7"/>
        <v>3141399.9999999995</v>
      </c>
      <c r="E18" s="12"/>
      <c r="F18" s="45">
        <f t="shared" si="8"/>
        <v>0</v>
      </c>
      <c r="G18" s="22"/>
      <c r="H18" s="45">
        <f t="shared" si="10"/>
        <v>0</v>
      </c>
      <c r="I18" s="45">
        <v>1390000</v>
      </c>
      <c r="J18" s="44">
        <f t="shared" si="2"/>
        <v>94241.99999999999</v>
      </c>
      <c r="K18" s="44">
        <f t="shared" si="9"/>
        <v>549744.9999999999</v>
      </c>
      <c r="L18" s="44">
        <f t="shared" si="3"/>
        <v>643986.9999999999</v>
      </c>
      <c r="M18" s="44">
        <f t="shared" si="4"/>
        <v>47120.99999999999</v>
      </c>
      <c r="N18" s="44">
        <f t="shared" si="5"/>
        <v>251311.99999999997</v>
      </c>
      <c r="O18" s="44">
        <f t="shared" si="6"/>
        <v>298432.99999999994</v>
      </c>
      <c r="P18" s="44"/>
      <c r="Q18" s="44"/>
      <c r="R18" s="44"/>
      <c r="S18" s="18"/>
      <c r="T18" s="18"/>
    </row>
    <row r="19" spans="1:20" ht="15.75">
      <c r="A19" s="21">
        <v>10</v>
      </c>
      <c r="B19" s="18" t="s">
        <v>117</v>
      </c>
      <c r="C19" s="22">
        <v>2.46</v>
      </c>
      <c r="D19" s="44">
        <f t="shared" si="7"/>
        <v>3419400</v>
      </c>
      <c r="E19" s="12"/>
      <c r="F19" s="45">
        <f t="shared" si="8"/>
        <v>0</v>
      </c>
      <c r="G19" s="22"/>
      <c r="H19" s="45">
        <f t="shared" si="10"/>
        <v>0</v>
      </c>
      <c r="I19" s="45">
        <v>1390000</v>
      </c>
      <c r="J19" s="44">
        <f t="shared" si="2"/>
        <v>102582</v>
      </c>
      <c r="K19" s="44">
        <f t="shared" si="9"/>
        <v>598395</v>
      </c>
      <c r="L19" s="44">
        <f t="shared" si="3"/>
        <v>700977</v>
      </c>
      <c r="M19" s="44">
        <f t="shared" si="4"/>
        <v>51291</v>
      </c>
      <c r="N19" s="44">
        <f t="shared" si="5"/>
        <v>273552</v>
      </c>
      <c r="O19" s="44">
        <f t="shared" si="6"/>
        <v>324843</v>
      </c>
      <c r="P19" s="44"/>
      <c r="Q19" s="44"/>
      <c r="R19" s="44"/>
      <c r="S19" s="18"/>
      <c r="T19" s="18"/>
    </row>
    <row r="20" spans="1:20" ht="15.75">
      <c r="A20" s="21">
        <v>11</v>
      </c>
      <c r="B20" s="18" t="s">
        <v>118</v>
      </c>
      <c r="C20" s="22">
        <v>2.46</v>
      </c>
      <c r="D20" s="44">
        <f t="shared" si="7"/>
        <v>3419400</v>
      </c>
      <c r="E20" s="12"/>
      <c r="F20" s="45">
        <f t="shared" si="8"/>
        <v>0</v>
      </c>
      <c r="G20" s="22"/>
      <c r="H20" s="45">
        <f t="shared" si="10"/>
        <v>0</v>
      </c>
      <c r="I20" s="45">
        <v>1390000</v>
      </c>
      <c r="J20" s="44">
        <f t="shared" si="2"/>
        <v>102582</v>
      </c>
      <c r="K20" s="44">
        <f t="shared" si="9"/>
        <v>598395</v>
      </c>
      <c r="L20" s="44">
        <f t="shared" si="3"/>
        <v>700977</v>
      </c>
      <c r="M20" s="44">
        <f t="shared" si="4"/>
        <v>51291</v>
      </c>
      <c r="N20" s="44">
        <f t="shared" si="5"/>
        <v>273552</v>
      </c>
      <c r="O20" s="44">
        <f t="shared" si="6"/>
        <v>324843</v>
      </c>
      <c r="P20" s="44"/>
      <c r="Q20" s="44"/>
      <c r="R20" s="44"/>
      <c r="S20" s="18"/>
      <c r="T20" s="18"/>
    </row>
    <row r="21" spans="1:20" ht="15.75">
      <c r="A21" s="21">
        <v>12</v>
      </c>
      <c r="B21" s="18" t="s">
        <v>119</v>
      </c>
      <c r="C21" s="22">
        <v>2.06</v>
      </c>
      <c r="D21" s="44">
        <f t="shared" si="7"/>
        <v>2863400</v>
      </c>
      <c r="E21" s="12"/>
      <c r="F21" s="45">
        <f t="shared" si="8"/>
        <v>0</v>
      </c>
      <c r="G21" s="22"/>
      <c r="H21" s="45">
        <f t="shared" si="10"/>
        <v>0</v>
      </c>
      <c r="I21" s="45">
        <v>1390000</v>
      </c>
      <c r="J21" s="44">
        <f t="shared" si="2"/>
        <v>85902</v>
      </c>
      <c r="K21" s="44">
        <f t="shared" si="9"/>
        <v>501094.99999999994</v>
      </c>
      <c r="L21" s="44">
        <f t="shared" si="3"/>
        <v>586997</v>
      </c>
      <c r="M21" s="44">
        <f t="shared" si="4"/>
        <v>42951</v>
      </c>
      <c r="N21" s="44">
        <f t="shared" si="5"/>
        <v>229072</v>
      </c>
      <c r="O21" s="44">
        <f t="shared" si="6"/>
        <v>272023</v>
      </c>
      <c r="P21" s="44"/>
      <c r="Q21" s="44"/>
      <c r="R21" s="44"/>
      <c r="S21" s="18"/>
      <c r="T21" s="18"/>
    </row>
    <row r="22" spans="1:20" ht="15.75">
      <c r="A22" s="21">
        <v>13</v>
      </c>
      <c r="B22" s="18" t="s">
        <v>120</v>
      </c>
      <c r="C22" s="22">
        <v>2.67</v>
      </c>
      <c r="D22" s="44">
        <f t="shared" si="7"/>
        <v>3711300</v>
      </c>
      <c r="E22" s="12"/>
      <c r="F22" s="45">
        <f t="shared" si="8"/>
        <v>0</v>
      </c>
      <c r="G22" s="22"/>
      <c r="H22" s="45">
        <f t="shared" si="10"/>
        <v>0</v>
      </c>
      <c r="I22" s="45">
        <v>1390000</v>
      </c>
      <c r="J22" s="44">
        <f t="shared" si="2"/>
        <v>111339</v>
      </c>
      <c r="K22" s="44">
        <f t="shared" si="9"/>
        <v>649477.5</v>
      </c>
      <c r="L22" s="44">
        <f t="shared" si="3"/>
        <v>760816.5</v>
      </c>
      <c r="M22" s="44">
        <f t="shared" si="4"/>
        <v>55669.5</v>
      </c>
      <c r="N22" s="44">
        <f t="shared" si="5"/>
        <v>296904</v>
      </c>
      <c r="O22" s="44">
        <f t="shared" si="6"/>
        <v>352573.5</v>
      </c>
      <c r="P22" s="44"/>
      <c r="Q22" s="44"/>
      <c r="R22" s="44"/>
      <c r="S22" s="18"/>
      <c r="T22" s="18"/>
    </row>
    <row r="23" spans="1:20" ht="15.75">
      <c r="A23" s="21"/>
      <c r="B23" s="18"/>
      <c r="C23" s="22"/>
      <c r="D23" s="44"/>
      <c r="E23" s="12"/>
      <c r="F23" s="45"/>
      <c r="G23" s="22"/>
      <c r="H23" s="45"/>
      <c r="I23" s="45"/>
      <c r="J23" s="44"/>
      <c r="K23" s="44"/>
      <c r="L23" s="44"/>
      <c r="M23" s="44"/>
      <c r="N23" s="44"/>
      <c r="O23" s="44"/>
      <c r="P23" s="44"/>
      <c r="Q23" s="44"/>
      <c r="R23" s="44"/>
      <c r="S23" s="18"/>
      <c r="T23" s="18"/>
    </row>
    <row r="24" spans="1:20" ht="15.75">
      <c r="A24" s="21"/>
      <c r="B24" s="18"/>
      <c r="C24" s="22"/>
      <c r="D24" s="44"/>
      <c r="E24" s="12"/>
      <c r="F24" s="45"/>
      <c r="G24" s="22"/>
      <c r="H24" s="45"/>
      <c r="I24" s="45"/>
      <c r="J24" s="44"/>
      <c r="K24" s="44"/>
      <c r="L24" s="44"/>
      <c r="M24" s="44"/>
      <c r="N24" s="44"/>
      <c r="O24" s="44"/>
      <c r="P24" s="44"/>
      <c r="Q24" s="44"/>
      <c r="R24" s="44"/>
      <c r="S24" s="18"/>
      <c r="T24" s="18"/>
    </row>
    <row r="25" spans="1:20" ht="20.25" customHeight="1">
      <c r="A25" s="16"/>
      <c r="B25" s="19" t="s">
        <v>1</v>
      </c>
      <c r="C25" s="20">
        <v>1.86</v>
      </c>
      <c r="D25" s="46">
        <f>D26</f>
        <v>2139000</v>
      </c>
      <c r="E25" s="9">
        <f>E26</f>
        <v>0</v>
      </c>
      <c r="F25" s="9">
        <f>F26</f>
        <v>0</v>
      </c>
      <c r="G25" s="9">
        <f>G26</f>
        <v>0</v>
      </c>
      <c r="H25" s="46"/>
      <c r="I25" s="45">
        <v>1390000</v>
      </c>
      <c r="J25" s="46">
        <f aca="true" t="shared" si="11" ref="J25:O25">J26</f>
        <v>64170</v>
      </c>
      <c r="K25" s="46">
        <f t="shared" si="11"/>
        <v>374325</v>
      </c>
      <c r="L25" s="46">
        <f t="shared" si="11"/>
        <v>438495</v>
      </c>
      <c r="M25" s="46">
        <f t="shared" si="11"/>
        <v>32085</v>
      </c>
      <c r="N25" s="46">
        <f t="shared" si="11"/>
        <v>171120</v>
      </c>
      <c r="O25" s="46">
        <f t="shared" si="11"/>
        <v>203205</v>
      </c>
      <c r="P25" s="46"/>
      <c r="Q25" s="46"/>
      <c r="R25" s="46"/>
      <c r="S25" s="23"/>
      <c r="T25" s="23"/>
    </row>
    <row r="26" spans="1:20" ht="20.25" customHeight="1">
      <c r="A26" s="21">
        <v>14</v>
      </c>
      <c r="B26" s="1" t="s">
        <v>143</v>
      </c>
      <c r="C26" s="22">
        <v>1.86</v>
      </c>
      <c r="D26" s="44">
        <f>(C26*1150000)</f>
        <v>2139000</v>
      </c>
      <c r="E26" s="10"/>
      <c r="F26" s="9"/>
      <c r="G26" s="10"/>
      <c r="H26" s="46"/>
      <c r="I26" s="45">
        <v>1390000</v>
      </c>
      <c r="J26" s="44">
        <f>(D26+F26+H26)*3%</f>
        <v>64170</v>
      </c>
      <c r="K26" s="44">
        <f>(D26+F26+H26)*17.5%</f>
        <v>374325</v>
      </c>
      <c r="L26" s="44">
        <f>J26+K26</f>
        <v>438495</v>
      </c>
      <c r="M26" s="44">
        <f>(D26+F26+H26)*1.5%</f>
        <v>32085</v>
      </c>
      <c r="N26" s="44">
        <f>(D26+F26+H26)*8%</f>
        <v>171120</v>
      </c>
      <c r="O26" s="44">
        <f>M26+N26</f>
        <v>203205</v>
      </c>
      <c r="P26" s="44"/>
      <c r="Q26" s="44"/>
      <c r="R26" s="44"/>
      <c r="S26" s="23"/>
      <c r="T26" s="23"/>
    </row>
    <row r="27" spans="1:20" ht="20.25" customHeight="1">
      <c r="A27" s="16"/>
      <c r="B27" s="23" t="s">
        <v>25</v>
      </c>
      <c r="C27" s="24">
        <f>C28</f>
        <v>2.06</v>
      </c>
      <c r="D27" s="46">
        <f>D28</f>
        <v>2863400</v>
      </c>
      <c r="E27" s="11">
        <f>E28</f>
        <v>0</v>
      </c>
      <c r="F27" s="9"/>
      <c r="G27" s="11">
        <f>G28</f>
        <v>0</v>
      </c>
      <c r="H27" s="13">
        <f>H28</f>
        <v>0</v>
      </c>
      <c r="I27" s="45">
        <v>1390000</v>
      </c>
      <c r="J27" s="46">
        <f aca="true" t="shared" si="12" ref="J27:O27">J28</f>
        <v>85902</v>
      </c>
      <c r="K27" s="46">
        <f t="shared" si="12"/>
        <v>501094.99999999994</v>
      </c>
      <c r="L27" s="46">
        <f t="shared" si="12"/>
        <v>586997</v>
      </c>
      <c r="M27" s="46">
        <f t="shared" si="12"/>
        <v>42951</v>
      </c>
      <c r="N27" s="46">
        <f t="shared" si="12"/>
        <v>229072</v>
      </c>
      <c r="O27" s="46">
        <f t="shared" si="12"/>
        <v>272023</v>
      </c>
      <c r="P27" s="46"/>
      <c r="Q27" s="46"/>
      <c r="R27" s="46"/>
      <c r="S27" s="23"/>
      <c r="T27" s="23"/>
    </row>
    <row r="28" spans="1:20" ht="20.25" customHeight="1">
      <c r="A28" s="16">
        <v>15</v>
      </c>
      <c r="B28" s="18" t="s">
        <v>121</v>
      </c>
      <c r="C28" s="22">
        <v>2.06</v>
      </c>
      <c r="D28" s="44">
        <f>C28*I28</f>
        <v>2863400</v>
      </c>
      <c r="E28" s="12"/>
      <c r="F28" s="9"/>
      <c r="G28" s="22"/>
      <c r="H28" s="45"/>
      <c r="I28" s="45">
        <v>1390000</v>
      </c>
      <c r="J28" s="44">
        <f>(D28+F28+H28)*3%</f>
        <v>85902</v>
      </c>
      <c r="K28" s="44">
        <f>(D28+F28+H28)*17.5%</f>
        <v>501094.99999999994</v>
      </c>
      <c r="L28" s="44">
        <f>J28+K28</f>
        <v>586997</v>
      </c>
      <c r="M28" s="44">
        <f>(D28+F28+H28)*1.5%</f>
        <v>42951</v>
      </c>
      <c r="N28" s="44">
        <f>(D28+F28+H28)*8%</f>
        <v>229072</v>
      </c>
      <c r="O28" s="44">
        <f>M28+N28</f>
        <v>272023</v>
      </c>
      <c r="P28" s="44"/>
      <c r="Q28" s="44"/>
      <c r="R28" s="44"/>
      <c r="S28" s="23"/>
      <c r="T28" s="23"/>
    </row>
    <row r="29" spans="1:20" ht="20.25" customHeight="1">
      <c r="A29" s="16"/>
      <c r="B29" s="23" t="s">
        <v>3</v>
      </c>
      <c r="C29" s="24">
        <f>C30</f>
        <v>2.06</v>
      </c>
      <c r="D29" s="46">
        <f>D30</f>
        <v>2863400</v>
      </c>
      <c r="E29" s="11">
        <f>E30</f>
        <v>0</v>
      </c>
      <c r="F29" s="9"/>
      <c r="G29" s="11">
        <f>G30</f>
        <v>0.15</v>
      </c>
      <c r="H29" s="13">
        <f>H30</f>
        <v>172500</v>
      </c>
      <c r="I29" s="45">
        <v>1390000</v>
      </c>
      <c r="J29" s="46">
        <f aca="true" t="shared" si="13" ref="J29:O29">J30</f>
        <v>91077</v>
      </c>
      <c r="K29" s="46">
        <f t="shared" si="13"/>
        <v>531282.5</v>
      </c>
      <c r="L29" s="46">
        <f t="shared" si="13"/>
        <v>622359.5</v>
      </c>
      <c r="M29" s="46">
        <f t="shared" si="13"/>
        <v>45538.5</v>
      </c>
      <c r="N29" s="46">
        <f t="shared" si="13"/>
        <v>242872</v>
      </c>
      <c r="O29" s="46">
        <f t="shared" si="13"/>
        <v>288410.5</v>
      </c>
      <c r="P29" s="46"/>
      <c r="Q29" s="46"/>
      <c r="R29" s="46"/>
      <c r="S29" s="23"/>
      <c r="T29" s="23"/>
    </row>
    <row r="30" spans="1:20" ht="20.25" customHeight="1">
      <c r="A30" s="16">
        <v>16</v>
      </c>
      <c r="B30" s="18" t="s">
        <v>144</v>
      </c>
      <c r="C30" s="22">
        <v>2.06</v>
      </c>
      <c r="D30" s="44">
        <f>C30*I30</f>
        <v>2863400</v>
      </c>
      <c r="E30" s="12"/>
      <c r="F30" s="9"/>
      <c r="G30" s="22">
        <v>0.15</v>
      </c>
      <c r="H30" s="45">
        <f>(G30*1150000)</f>
        <v>172500</v>
      </c>
      <c r="I30" s="45">
        <v>1390000</v>
      </c>
      <c r="J30" s="44">
        <f>(D30+F30+H30)*3%</f>
        <v>91077</v>
      </c>
      <c r="K30" s="44">
        <f>(D30+F30+H30)*17.5%</f>
        <v>531282.5</v>
      </c>
      <c r="L30" s="44">
        <f>J30+K30</f>
        <v>622359.5</v>
      </c>
      <c r="M30" s="44">
        <f>(D30+F30+H30)*1.5%</f>
        <v>45538.5</v>
      </c>
      <c r="N30" s="44">
        <f>(D30+F30+H30)*8%</f>
        <v>242872</v>
      </c>
      <c r="O30" s="44">
        <f>M30+N30</f>
        <v>288410.5</v>
      </c>
      <c r="P30" s="44"/>
      <c r="Q30" s="44"/>
      <c r="R30" s="44"/>
      <c r="S30" s="23"/>
      <c r="T30" s="23"/>
    </row>
    <row r="31" spans="1:19" ht="15.75">
      <c r="A31" s="16"/>
      <c r="B31" s="23" t="s">
        <v>4</v>
      </c>
      <c r="C31" s="24">
        <f>C32</f>
        <v>2.25</v>
      </c>
      <c r="D31" s="46">
        <f>D32</f>
        <v>3127500</v>
      </c>
      <c r="E31" s="13">
        <f>E32</f>
        <v>0</v>
      </c>
      <c r="F31" s="9"/>
      <c r="G31" s="11">
        <f>G32</f>
        <v>0</v>
      </c>
      <c r="H31" s="13">
        <f>H32</f>
        <v>0</v>
      </c>
      <c r="I31" s="45">
        <v>1390000</v>
      </c>
      <c r="J31" s="46">
        <f aca="true" t="shared" si="14" ref="J31:O31">J32</f>
        <v>93825</v>
      </c>
      <c r="K31" s="46">
        <f t="shared" si="14"/>
        <v>547312.5</v>
      </c>
      <c r="L31" s="46">
        <f t="shared" si="14"/>
        <v>641137.5</v>
      </c>
      <c r="M31" s="46">
        <f t="shared" si="14"/>
        <v>46912.5</v>
      </c>
      <c r="N31" s="46">
        <f t="shared" si="14"/>
        <v>250200</v>
      </c>
      <c r="O31" s="46">
        <f t="shared" si="14"/>
        <v>297112.5</v>
      </c>
      <c r="P31" s="46"/>
      <c r="Q31" s="46"/>
      <c r="R31" s="46"/>
      <c r="S31" s="46"/>
    </row>
    <row r="32" spans="1:19" ht="15.75">
      <c r="A32" s="16">
        <v>17</v>
      </c>
      <c r="B32" s="18" t="s">
        <v>122</v>
      </c>
      <c r="C32" s="22">
        <v>2.25</v>
      </c>
      <c r="D32" s="44">
        <f>C32*I32</f>
        <v>3127500</v>
      </c>
      <c r="E32" s="12"/>
      <c r="F32" s="9"/>
      <c r="G32" s="22"/>
      <c r="H32" s="45">
        <f>(G32*1150000)</f>
        <v>0</v>
      </c>
      <c r="I32" s="45">
        <v>1390000</v>
      </c>
      <c r="J32" s="44">
        <f>(D32+F32+H32)*3%</f>
        <v>93825</v>
      </c>
      <c r="K32" s="44">
        <f>(D32+F32+H32)*17.5%</f>
        <v>547312.5</v>
      </c>
      <c r="L32" s="44">
        <f>J32+K32</f>
        <v>641137.5</v>
      </c>
      <c r="M32" s="44">
        <f>(D32+F32+H32)*1.5%</f>
        <v>46912.5</v>
      </c>
      <c r="N32" s="44">
        <f>(D32+F32+H32)*8%</f>
        <v>250200</v>
      </c>
      <c r="O32" s="44">
        <f>M32+N32</f>
        <v>297112.5</v>
      </c>
      <c r="P32" s="44"/>
      <c r="Q32" s="44"/>
      <c r="R32" s="44"/>
      <c r="S32" s="44"/>
    </row>
    <row r="33" spans="1:20" ht="20.25" customHeight="1">
      <c r="A33" s="16"/>
      <c r="B33" s="23" t="s">
        <v>5</v>
      </c>
      <c r="C33" s="24">
        <f>C34</f>
        <v>1.86</v>
      </c>
      <c r="D33" s="46">
        <f>D34</f>
        <v>2585400</v>
      </c>
      <c r="E33" s="13">
        <f>E34</f>
        <v>0</v>
      </c>
      <c r="F33" s="9"/>
      <c r="G33" s="11">
        <f>G34</f>
        <v>0.15</v>
      </c>
      <c r="H33" s="13">
        <f>H34</f>
        <v>172500</v>
      </c>
      <c r="I33" s="45">
        <v>1390000</v>
      </c>
      <c r="J33" s="42">
        <f aca="true" t="shared" si="15" ref="J33:O33">J34</f>
        <v>82737</v>
      </c>
      <c r="K33" s="42">
        <f t="shared" si="15"/>
        <v>482632.49999999994</v>
      </c>
      <c r="L33" s="42">
        <f t="shared" si="15"/>
        <v>565369.5</v>
      </c>
      <c r="M33" s="42">
        <f t="shared" si="15"/>
        <v>41368.5</v>
      </c>
      <c r="N33" s="42">
        <f t="shared" si="15"/>
        <v>220632</v>
      </c>
      <c r="O33" s="42">
        <f t="shared" si="15"/>
        <v>262000.5</v>
      </c>
      <c r="P33" s="42"/>
      <c r="Q33" s="42"/>
      <c r="R33" s="42"/>
      <c r="S33" s="23"/>
      <c r="T33" s="23"/>
    </row>
    <row r="34" spans="1:20" ht="20.25" customHeight="1">
      <c r="A34" s="16">
        <v>18</v>
      </c>
      <c r="B34" s="18" t="s">
        <v>133</v>
      </c>
      <c r="C34" s="22">
        <v>1.86</v>
      </c>
      <c r="D34" s="44">
        <f>C34*I34</f>
        <v>2585400</v>
      </c>
      <c r="E34" s="10"/>
      <c r="F34" s="9"/>
      <c r="G34" s="22">
        <v>0.15</v>
      </c>
      <c r="H34" s="45">
        <f>(G34*1150000)</f>
        <v>172500</v>
      </c>
      <c r="I34" s="45">
        <v>1390000</v>
      </c>
      <c r="J34" s="44">
        <f>(D34+F34+H34)*3%</f>
        <v>82737</v>
      </c>
      <c r="K34" s="44">
        <f>(D34+F34+H34)*17.5%</f>
        <v>482632.49999999994</v>
      </c>
      <c r="L34" s="44">
        <f>J34+K34</f>
        <v>565369.5</v>
      </c>
      <c r="M34" s="44">
        <f>(D34+F34+H34)*1.5%</f>
        <v>41368.5</v>
      </c>
      <c r="N34" s="44">
        <f>(D34+F34+H34)*8%</f>
        <v>220632</v>
      </c>
      <c r="O34" s="44">
        <f>M34+N34</f>
        <v>262000.5</v>
      </c>
      <c r="P34" s="44"/>
      <c r="Q34" s="44"/>
      <c r="R34" s="44"/>
      <c r="S34" s="23"/>
      <c r="T34" s="23"/>
    </row>
    <row r="35" spans="1:20" ht="20.25" customHeight="1">
      <c r="A35" s="16"/>
      <c r="B35" s="23" t="s">
        <v>6</v>
      </c>
      <c r="C35" s="25">
        <f>C36</f>
        <v>2.25</v>
      </c>
      <c r="D35" s="46">
        <f>D36</f>
        <v>3127500</v>
      </c>
      <c r="E35" s="13">
        <f>E36</f>
        <v>0</v>
      </c>
      <c r="F35" s="9"/>
      <c r="G35" s="13">
        <f>G36</f>
        <v>0</v>
      </c>
      <c r="H35" s="46"/>
      <c r="I35" s="45">
        <v>1390000</v>
      </c>
      <c r="J35" s="46">
        <f aca="true" t="shared" si="16" ref="J35:O35">J36</f>
        <v>93825</v>
      </c>
      <c r="K35" s="46">
        <f t="shared" si="16"/>
        <v>547312.5</v>
      </c>
      <c r="L35" s="46">
        <f t="shared" si="16"/>
        <v>641137.5</v>
      </c>
      <c r="M35" s="46">
        <f t="shared" si="16"/>
        <v>46912.5</v>
      </c>
      <c r="N35" s="46">
        <f t="shared" si="16"/>
        <v>250200</v>
      </c>
      <c r="O35" s="46">
        <f t="shared" si="16"/>
        <v>297112.5</v>
      </c>
      <c r="P35" s="46"/>
      <c r="Q35" s="46"/>
      <c r="R35" s="46"/>
      <c r="S35" s="23"/>
      <c r="T35" s="23"/>
    </row>
    <row r="36" spans="1:20" ht="20.25" customHeight="1">
      <c r="A36" s="16">
        <v>19</v>
      </c>
      <c r="B36" s="18" t="s">
        <v>124</v>
      </c>
      <c r="C36" s="22">
        <v>2.25</v>
      </c>
      <c r="D36" s="44">
        <f>C36*I36</f>
        <v>3127500</v>
      </c>
      <c r="E36" s="10"/>
      <c r="F36" s="9"/>
      <c r="G36" s="10"/>
      <c r="H36" s="46"/>
      <c r="I36" s="45">
        <v>1390000</v>
      </c>
      <c r="J36" s="44">
        <f>(D36+F36+H36)*3%</f>
        <v>93825</v>
      </c>
      <c r="K36" s="44">
        <f>(D36+F36+H36)*17.5%</f>
        <v>547312.5</v>
      </c>
      <c r="L36" s="44">
        <f>J36+K36</f>
        <v>641137.5</v>
      </c>
      <c r="M36" s="44">
        <f>(D36+F36+H36)*1.5%</f>
        <v>46912.5</v>
      </c>
      <c r="N36" s="44">
        <f>(D36+F36+H36)*8%</f>
        <v>250200</v>
      </c>
      <c r="O36" s="44">
        <f>M36+N36</f>
        <v>297112.5</v>
      </c>
      <c r="P36" s="44"/>
      <c r="Q36" s="44"/>
      <c r="R36" s="44"/>
      <c r="S36" s="23"/>
      <c r="T36" s="23"/>
    </row>
    <row r="37" spans="1:20" ht="20.25" customHeight="1">
      <c r="A37" s="16"/>
      <c r="B37" s="23" t="s">
        <v>2</v>
      </c>
      <c r="C37" s="25">
        <f aca="true" t="shared" si="17" ref="C37:H37">C38+C39</f>
        <v>5.52</v>
      </c>
      <c r="D37" s="46">
        <f t="shared" si="17"/>
        <v>7672800</v>
      </c>
      <c r="E37" s="11">
        <f t="shared" si="17"/>
        <v>0</v>
      </c>
      <c r="F37" s="46">
        <f t="shared" si="17"/>
        <v>0</v>
      </c>
      <c r="G37" s="11">
        <f t="shared" si="17"/>
        <v>0.55</v>
      </c>
      <c r="H37" s="13">
        <f t="shared" si="17"/>
        <v>764500</v>
      </c>
      <c r="I37" s="45">
        <v>1390000</v>
      </c>
      <c r="J37" s="46">
        <f aca="true" t="shared" si="18" ref="J37:O37">J38+J39</f>
        <v>253119</v>
      </c>
      <c r="K37" s="46">
        <f t="shared" si="18"/>
        <v>1476527.5</v>
      </c>
      <c r="L37" s="46">
        <f t="shared" si="18"/>
        <v>1729646.5</v>
      </c>
      <c r="M37" s="46">
        <f t="shared" si="18"/>
        <v>126559.5</v>
      </c>
      <c r="N37" s="46">
        <f t="shared" si="18"/>
        <v>674984</v>
      </c>
      <c r="O37" s="46">
        <f t="shared" si="18"/>
        <v>801543.5</v>
      </c>
      <c r="P37" s="46"/>
      <c r="Q37" s="46"/>
      <c r="R37" s="46"/>
      <c r="S37" s="23"/>
      <c r="T37" s="23"/>
    </row>
    <row r="38" spans="1:19" ht="20.25" customHeight="1">
      <c r="A38" s="16">
        <v>20</v>
      </c>
      <c r="B38" s="18" t="s">
        <v>110</v>
      </c>
      <c r="C38" s="22">
        <v>2.66</v>
      </c>
      <c r="D38" s="44">
        <f>C38*I38</f>
        <v>3697400</v>
      </c>
      <c r="E38" s="12"/>
      <c r="F38" s="45"/>
      <c r="G38" s="22">
        <v>0.25</v>
      </c>
      <c r="H38" s="45">
        <f>G38*I38</f>
        <v>347500</v>
      </c>
      <c r="I38" s="45">
        <v>1390000</v>
      </c>
      <c r="J38" s="44">
        <f>(D38+F38+H38)*3%</f>
        <v>121347</v>
      </c>
      <c r="K38" s="44">
        <f>(D38+F38+H38)*17.5%</f>
        <v>707857.5</v>
      </c>
      <c r="L38" s="44">
        <f>J38+K38</f>
        <v>829204.5</v>
      </c>
      <c r="M38" s="44">
        <f>(D38+F38+H38)*1.5%</f>
        <v>60673.5</v>
      </c>
      <c r="N38" s="44">
        <f>(D38+F38+H38)*8%</f>
        <v>323592</v>
      </c>
      <c r="O38" s="44">
        <f>M38+N38</f>
        <v>384265.5</v>
      </c>
      <c r="P38" s="44"/>
      <c r="Q38" s="44"/>
      <c r="R38" s="44"/>
      <c r="S38" s="44"/>
    </row>
    <row r="39" spans="1:19" ht="20.25" customHeight="1">
      <c r="A39" s="16">
        <v>21</v>
      </c>
      <c r="B39" s="18" t="s">
        <v>145</v>
      </c>
      <c r="C39" s="22">
        <v>2.86</v>
      </c>
      <c r="D39" s="44">
        <f>C39*I39</f>
        <v>3975400</v>
      </c>
      <c r="E39" s="12"/>
      <c r="F39" s="9"/>
      <c r="G39" s="22">
        <v>0.3</v>
      </c>
      <c r="H39" s="45">
        <f>G39*I39</f>
        <v>417000</v>
      </c>
      <c r="I39" s="45">
        <v>1390000</v>
      </c>
      <c r="J39" s="44">
        <f>(D39+F39+H39)*3%</f>
        <v>131772</v>
      </c>
      <c r="K39" s="44">
        <f>(D39+F39+H39)*17.5%</f>
        <v>768670</v>
      </c>
      <c r="L39" s="44">
        <f>J39+K39</f>
        <v>900442</v>
      </c>
      <c r="M39" s="44">
        <f>(D39+F39+H39)*1.5%</f>
        <v>65886</v>
      </c>
      <c r="N39" s="44">
        <f>(D39+F39+H39)*8%</f>
        <v>351392</v>
      </c>
      <c r="O39" s="44">
        <f>M39+N39</f>
        <v>417278</v>
      </c>
      <c r="P39" s="44"/>
      <c r="Q39" s="44"/>
      <c r="R39" s="44"/>
      <c r="S39" s="44"/>
    </row>
    <row r="40" spans="1:20" ht="20.25" customHeight="1">
      <c r="A40" s="23"/>
      <c r="B40" s="23" t="s">
        <v>12</v>
      </c>
      <c r="C40" s="27">
        <f>C41</f>
        <v>2.45</v>
      </c>
      <c r="D40" s="46">
        <f>D41</f>
        <v>3405500.0000000005</v>
      </c>
      <c r="E40" s="29">
        <f>E41</f>
        <v>0</v>
      </c>
      <c r="F40" s="29">
        <f>F41</f>
        <v>0</v>
      </c>
      <c r="G40" s="29">
        <f>G41</f>
        <v>0</v>
      </c>
      <c r="H40" s="46"/>
      <c r="I40" s="45">
        <v>1390000</v>
      </c>
      <c r="J40" s="46">
        <f aca="true" t="shared" si="19" ref="J40:O40">J41</f>
        <v>102165.00000000001</v>
      </c>
      <c r="K40" s="46">
        <f t="shared" si="19"/>
        <v>595962.5</v>
      </c>
      <c r="L40" s="46">
        <f t="shared" si="19"/>
        <v>698127.5</v>
      </c>
      <c r="M40" s="46">
        <f t="shared" si="19"/>
        <v>51082.50000000001</v>
      </c>
      <c r="N40" s="46">
        <f t="shared" si="19"/>
        <v>272440.00000000006</v>
      </c>
      <c r="O40" s="46">
        <f t="shared" si="19"/>
        <v>323522.50000000006</v>
      </c>
      <c r="P40" s="46"/>
      <c r="Q40" s="46"/>
      <c r="R40" s="46"/>
      <c r="S40" s="23"/>
      <c r="T40" s="23"/>
    </row>
    <row r="41" spans="1:20" ht="20.25" customHeight="1">
      <c r="A41" s="16">
        <v>22</v>
      </c>
      <c r="B41" s="18" t="s">
        <v>125</v>
      </c>
      <c r="C41" s="26">
        <v>2.45</v>
      </c>
      <c r="D41" s="44">
        <f>C41*I41</f>
        <v>3405500.0000000005</v>
      </c>
      <c r="E41" s="14"/>
      <c r="F41" s="9"/>
      <c r="G41" s="14"/>
      <c r="H41" s="46"/>
      <c r="I41" s="45">
        <v>1390000</v>
      </c>
      <c r="J41" s="44">
        <f>(D41+F41+H41)*3%</f>
        <v>102165.00000000001</v>
      </c>
      <c r="K41" s="44">
        <f>(D41+F41+H41)*17.5%</f>
        <v>595962.5</v>
      </c>
      <c r="L41" s="44">
        <f>J41+K41</f>
        <v>698127.5</v>
      </c>
      <c r="M41" s="44">
        <f>(D41+F41+H41)*1.5%</f>
        <v>51082.50000000001</v>
      </c>
      <c r="N41" s="44">
        <f>(D41+F41+H41)*8%</f>
        <v>272440.00000000006</v>
      </c>
      <c r="O41" s="44">
        <f>M41+N41</f>
        <v>323522.50000000006</v>
      </c>
      <c r="P41" s="44"/>
      <c r="Q41" s="44"/>
      <c r="R41" s="44"/>
      <c r="S41" s="23"/>
      <c r="T41" s="23"/>
    </row>
    <row r="42" spans="1:20" ht="20.25" customHeight="1">
      <c r="A42" s="16"/>
      <c r="B42" s="23" t="s">
        <v>13</v>
      </c>
      <c r="C42" s="8">
        <f aca="true" t="shared" si="20" ref="C42:H42">C8+C25+C27+C29+C31+C33+C35+C37+C40</f>
        <v>52.93000000000001</v>
      </c>
      <c r="D42" s="28">
        <f t="shared" si="20"/>
        <v>73126300</v>
      </c>
      <c r="E42" s="8">
        <f t="shared" si="20"/>
        <v>0</v>
      </c>
      <c r="F42" s="28">
        <f t="shared" si="20"/>
        <v>0</v>
      </c>
      <c r="G42" s="8">
        <f t="shared" si="20"/>
        <v>1.5</v>
      </c>
      <c r="H42" s="28">
        <f t="shared" si="20"/>
        <v>2013000</v>
      </c>
      <c r="I42" s="28"/>
      <c r="J42" s="28">
        <f aca="true" t="shared" si="21" ref="J42:O42">J8+J25+J27+J29+J31+J33+J35+J37+J40</f>
        <v>2254179</v>
      </c>
      <c r="K42" s="28">
        <f t="shared" si="21"/>
        <v>13149377.5</v>
      </c>
      <c r="L42" s="28">
        <f t="shared" si="21"/>
        <v>15403556.5</v>
      </c>
      <c r="M42" s="28">
        <f t="shared" si="21"/>
        <v>1127089.5</v>
      </c>
      <c r="N42" s="28">
        <f t="shared" si="21"/>
        <v>6011144</v>
      </c>
      <c r="O42" s="28">
        <f t="shared" si="21"/>
        <v>7138233.5</v>
      </c>
      <c r="P42" s="28"/>
      <c r="Q42" s="28"/>
      <c r="R42" s="28"/>
      <c r="S42" s="18"/>
      <c r="T42" s="18"/>
    </row>
    <row r="43" spans="3:15" ht="15.75">
      <c r="C43" s="47">
        <f>C8+C37+D45</f>
        <v>53.21</v>
      </c>
      <c r="D43" s="36">
        <f>C41+C36+C34+C32+C30</f>
        <v>10.870000000000001</v>
      </c>
      <c r="E43" s="48"/>
      <c r="J43" s="156"/>
      <c r="K43" s="156"/>
      <c r="L43" s="52"/>
      <c r="M43" s="156"/>
      <c r="N43" s="156"/>
      <c r="O43" s="58"/>
    </row>
    <row r="44" spans="1:15" ht="15.75">
      <c r="A44" s="158"/>
      <c r="B44" s="158"/>
      <c r="C44" s="8">
        <f>C8+C25+C37+D43+C27</f>
        <v>52.93000000000001</v>
      </c>
      <c r="D44" s="36">
        <f>0.7*6</f>
        <v>4.199999999999999</v>
      </c>
      <c r="E44" s="36"/>
      <c r="F44" s="5"/>
      <c r="G44" s="5"/>
      <c r="H44" s="5"/>
      <c r="I44" s="5"/>
      <c r="J44" s="158"/>
      <c r="K44" s="158"/>
      <c r="L44" s="53"/>
      <c r="M44" s="158"/>
      <c r="N44" s="158"/>
      <c r="O44" s="59"/>
    </row>
    <row r="45" spans="4:6" ht="17.25">
      <c r="D45" s="49">
        <f>SUM(D43:D44)</f>
        <v>15.07</v>
      </c>
      <c r="E45" s="36">
        <f>13.68</f>
        <v>13.68</v>
      </c>
      <c r="F45" s="38">
        <f>D45-E45</f>
        <v>1.3900000000000006</v>
      </c>
    </row>
    <row r="47" ht="15.75">
      <c r="D47" s="6">
        <v>2.76</v>
      </c>
    </row>
    <row r="48" ht="15.75">
      <c r="D48" s="6">
        <v>2.56</v>
      </c>
    </row>
    <row r="49" ht="15.75">
      <c r="D49" s="6">
        <v>2.56</v>
      </c>
    </row>
    <row r="50" ht="15.75">
      <c r="D50" s="6">
        <v>2.45</v>
      </c>
    </row>
    <row r="51" ht="15.75">
      <c r="D51" s="6">
        <v>3.35</v>
      </c>
    </row>
    <row r="53" ht="15.75">
      <c r="D53" s="50">
        <f>SUM(D47:D52)</f>
        <v>13.680000000000001</v>
      </c>
    </row>
  </sheetData>
  <sheetProtection/>
  <mergeCells count="24">
    <mergeCell ref="M43:N43"/>
    <mergeCell ref="G4:H4"/>
    <mergeCell ref="A44:B44"/>
    <mergeCell ref="J44:K44"/>
    <mergeCell ref="M44:N44"/>
    <mergeCell ref="J43:K43"/>
    <mergeCell ref="T4:T6"/>
    <mergeCell ref="C5:C6"/>
    <mergeCell ref="M4:O5"/>
    <mergeCell ref="D5:D6"/>
    <mergeCell ref="E5:F5"/>
    <mergeCell ref="G5:H5"/>
    <mergeCell ref="J4:L5"/>
    <mergeCell ref="I4:I6"/>
    <mergeCell ref="A1:T1"/>
    <mergeCell ref="P4:P6"/>
    <mergeCell ref="Q4:Q6"/>
    <mergeCell ref="R4:R6"/>
    <mergeCell ref="S4:S6"/>
    <mergeCell ref="A2:T2"/>
    <mergeCell ref="A4:A6"/>
    <mergeCell ref="B4:B6"/>
    <mergeCell ref="C4:D4"/>
    <mergeCell ref="E4:F4"/>
  </mergeCells>
  <printOptions horizontalCentered="1"/>
  <pageMargins left="0.25" right="0.25" top="0.5" bottom="0.5" header="0.39" footer="0.5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50"/>
  <sheetViews>
    <sheetView view="pageBreakPreview" zoomScale="90" zoomScaleNormal="90" zoomScaleSheetLayoutView="90" zoomScalePageLayoutView="0" workbookViewId="0" topLeftCell="A1">
      <selection activeCell="J7" sqref="J7"/>
    </sheetView>
  </sheetViews>
  <sheetFormatPr defaultColWidth="9.00390625" defaultRowHeight="15.75"/>
  <cols>
    <col min="1" max="1" width="3.50390625" style="6" customWidth="1"/>
    <col min="2" max="2" width="15.875" style="6" customWidth="1"/>
    <col min="3" max="3" width="8.00390625" style="6" customWidth="1"/>
    <col min="4" max="4" width="10.875" style="6" customWidth="1"/>
    <col min="5" max="5" width="9.625" style="6" customWidth="1"/>
    <col min="6" max="6" width="7.875" style="6" customWidth="1"/>
    <col min="7" max="7" width="7.75390625" style="6" customWidth="1"/>
    <col min="8" max="8" width="11.375" style="6" customWidth="1"/>
    <col min="9" max="9" width="11.125" style="51" customWidth="1"/>
    <col min="10" max="10" width="8.25390625" style="6" customWidth="1"/>
    <col min="11" max="11" width="11.50390625" style="6" customWidth="1"/>
    <col min="12" max="12" width="11.00390625" style="56" customWidth="1"/>
    <col min="13" max="13" width="8.50390625" style="105" hidden="1" customWidth="1"/>
    <col min="14" max="14" width="10.875" style="6" customWidth="1"/>
    <col min="15" max="15" width="10.50390625" style="6" customWidth="1"/>
    <col min="16" max="16" width="11.00390625" style="6" customWidth="1"/>
    <col min="17" max="17" width="50.00390625" style="6" customWidth="1"/>
    <col min="18" max="18" width="11.125" style="6" bestFit="1" customWidth="1"/>
    <col min="19" max="16384" width="9.00390625" style="6" customWidth="1"/>
  </cols>
  <sheetData>
    <row r="1" spans="1:19" ht="21.75" customHeight="1">
      <c r="A1" s="158" t="s">
        <v>234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37"/>
      <c r="S1" s="37"/>
    </row>
    <row r="2" spans="1:17" ht="16.5" customHeight="1">
      <c r="A2" s="158" t="s">
        <v>240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6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 t="s">
        <v>238</v>
      </c>
    </row>
    <row r="4" spans="4:17" ht="15.75">
      <c r="D4" s="38"/>
      <c r="I4" s="6"/>
      <c r="L4" s="6"/>
      <c r="M4" s="6"/>
      <c r="Q4" s="73" t="s">
        <v>233</v>
      </c>
    </row>
    <row r="5" spans="1:17" ht="15.75" customHeight="1">
      <c r="A5" s="171" t="s">
        <v>14</v>
      </c>
      <c r="B5" s="171" t="s">
        <v>24</v>
      </c>
      <c r="C5" s="174" t="s">
        <v>7</v>
      </c>
      <c r="D5" s="175"/>
      <c r="E5" s="159" t="s">
        <v>31</v>
      </c>
      <c r="F5" s="159" t="s">
        <v>72</v>
      </c>
      <c r="G5" s="162" t="s">
        <v>22</v>
      </c>
      <c r="H5" s="163"/>
      <c r="I5" s="164"/>
      <c r="J5" s="162" t="s">
        <v>21</v>
      </c>
      <c r="K5" s="163"/>
      <c r="L5" s="164"/>
      <c r="M5" s="177" t="s">
        <v>73</v>
      </c>
      <c r="N5" s="159" t="s">
        <v>30</v>
      </c>
      <c r="O5" s="159" t="s">
        <v>226</v>
      </c>
      <c r="P5" s="159" t="s">
        <v>225</v>
      </c>
      <c r="Q5" s="159" t="s">
        <v>16</v>
      </c>
    </row>
    <row r="6" spans="1:17" ht="30" customHeight="1">
      <c r="A6" s="172"/>
      <c r="B6" s="172"/>
      <c r="C6" s="159" t="s">
        <v>9</v>
      </c>
      <c r="D6" s="159" t="s">
        <v>8</v>
      </c>
      <c r="E6" s="160"/>
      <c r="F6" s="160"/>
      <c r="G6" s="165"/>
      <c r="H6" s="166"/>
      <c r="I6" s="167"/>
      <c r="J6" s="165"/>
      <c r="K6" s="166"/>
      <c r="L6" s="167"/>
      <c r="M6" s="178"/>
      <c r="N6" s="160"/>
      <c r="O6" s="160"/>
      <c r="P6" s="160"/>
      <c r="Q6" s="160"/>
    </row>
    <row r="7" spans="1:17" s="116" customFormat="1" ht="79.5" customHeight="1">
      <c r="A7" s="173"/>
      <c r="B7" s="173"/>
      <c r="C7" s="161"/>
      <c r="D7" s="161"/>
      <c r="E7" s="161"/>
      <c r="F7" s="160"/>
      <c r="G7" s="128" t="s">
        <v>17</v>
      </c>
      <c r="H7" s="128" t="s">
        <v>215</v>
      </c>
      <c r="I7" s="128" t="s">
        <v>13</v>
      </c>
      <c r="J7" s="128" t="s">
        <v>18</v>
      </c>
      <c r="K7" s="128" t="s">
        <v>19</v>
      </c>
      <c r="L7" s="128" t="s">
        <v>13</v>
      </c>
      <c r="M7" s="179"/>
      <c r="N7" s="160"/>
      <c r="O7" s="161"/>
      <c r="P7" s="161"/>
      <c r="Q7" s="161"/>
    </row>
    <row r="8" spans="1:17" s="116" customFormat="1" ht="18.75" customHeight="1">
      <c r="A8" s="129" t="s">
        <v>34</v>
      </c>
      <c r="B8" s="129" t="s">
        <v>35</v>
      </c>
      <c r="C8" s="129" t="s">
        <v>36</v>
      </c>
      <c r="D8" s="129" t="s">
        <v>37</v>
      </c>
      <c r="E8" s="129">
        <v>5</v>
      </c>
      <c r="F8" s="130">
        <v>6</v>
      </c>
      <c r="G8" s="130">
        <v>7</v>
      </c>
      <c r="H8" s="130">
        <v>8</v>
      </c>
      <c r="I8" s="130">
        <v>9</v>
      </c>
      <c r="J8" s="130">
        <v>10</v>
      </c>
      <c r="K8" s="130">
        <v>11</v>
      </c>
      <c r="L8" s="130">
        <v>12</v>
      </c>
      <c r="M8" s="130"/>
      <c r="N8" s="130">
        <v>13</v>
      </c>
      <c r="O8" s="129">
        <v>14</v>
      </c>
      <c r="P8" s="129">
        <v>15</v>
      </c>
      <c r="Q8" s="129">
        <v>16</v>
      </c>
    </row>
    <row r="9" spans="1:17" s="116" customFormat="1" ht="18.75" customHeight="1">
      <c r="A9" s="131"/>
      <c r="B9" s="132" t="s">
        <v>0</v>
      </c>
      <c r="C9" s="133">
        <f>SUM(C10:C18)</f>
        <v>6.4</v>
      </c>
      <c r="D9" s="134">
        <f>SUM(D10:D18)</f>
        <v>8320000</v>
      </c>
      <c r="E9" s="135"/>
      <c r="F9" s="135"/>
      <c r="G9" s="134">
        <f aca="true" t="shared" si="0" ref="G9:L9">SUM(G10:G18)</f>
        <v>0</v>
      </c>
      <c r="H9" s="134">
        <f t="shared" si="0"/>
        <v>8736000.000000002</v>
      </c>
      <c r="I9" s="134">
        <f t="shared" si="0"/>
        <v>8736000.000000002</v>
      </c>
      <c r="J9" s="134">
        <f t="shared" si="0"/>
        <v>0</v>
      </c>
      <c r="K9" s="134">
        <f t="shared" si="0"/>
        <v>4992000</v>
      </c>
      <c r="L9" s="134">
        <f t="shared" si="0"/>
        <v>4992000</v>
      </c>
      <c r="M9" s="134"/>
      <c r="N9" s="134">
        <f>SUM(N10:N18)</f>
        <v>0</v>
      </c>
      <c r="O9" s="134">
        <f>SUM(O10:O18)</f>
        <v>4371900</v>
      </c>
      <c r="P9" s="134">
        <f>SUM(P10:P18)</f>
        <v>-620100</v>
      </c>
      <c r="Q9" s="131"/>
    </row>
    <row r="10" spans="1:17" s="116" customFormat="1" ht="18.75" customHeight="1">
      <c r="A10" s="110" t="s">
        <v>34</v>
      </c>
      <c r="B10" s="127" t="s">
        <v>126</v>
      </c>
      <c r="C10" s="112">
        <v>1</v>
      </c>
      <c r="D10" s="113">
        <f aca="true" t="shared" si="1" ref="D10:D17">(C10*E10)</f>
        <v>1300000</v>
      </c>
      <c r="E10" s="114">
        <v>1300000</v>
      </c>
      <c r="F10" s="115">
        <v>6</v>
      </c>
      <c r="G10" s="113"/>
      <c r="H10" s="113">
        <f aca="true" t="shared" si="2" ref="H10:H17">E10*14%*F10</f>
        <v>1092000.0000000002</v>
      </c>
      <c r="I10" s="113">
        <f aca="true" t="shared" si="3" ref="I10:I17">G10+H10</f>
        <v>1092000.0000000002</v>
      </c>
      <c r="J10" s="113"/>
      <c r="K10" s="113">
        <f>E10*8%*F10</f>
        <v>624000</v>
      </c>
      <c r="L10" s="113">
        <f aca="true" t="shared" si="4" ref="L10:L17">J10+K10</f>
        <v>624000</v>
      </c>
      <c r="M10" s="121"/>
      <c r="N10" s="113">
        <f>D10*8%*M10</f>
        <v>0</v>
      </c>
      <c r="O10" s="113">
        <f>123500*6</f>
        <v>741000</v>
      </c>
      <c r="P10" s="113">
        <f>O10-L10</f>
        <v>117000</v>
      </c>
      <c r="Q10" s="111" t="s">
        <v>224</v>
      </c>
    </row>
    <row r="11" spans="1:17" s="116" customFormat="1" ht="18.75" customHeight="1">
      <c r="A11" s="110" t="s">
        <v>35</v>
      </c>
      <c r="B11" s="111" t="s">
        <v>127</v>
      </c>
      <c r="C11" s="112">
        <v>1</v>
      </c>
      <c r="D11" s="113">
        <f t="shared" si="1"/>
        <v>1300000</v>
      </c>
      <c r="E11" s="114">
        <v>1300000</v>
      </c>
      <c r="F11" s="115">
        <v>6</v>
      </c>
      <c r="G11" s="113"/>
      <c r="H11" s="113">
        <f t="shared" si="2"/>
        <v>1092000.0000000002</v>
      </c>
      <c r="I11" s="113">
        <f t="shared" si="3"/>
        <v>1092000.0000000002</v>
      </c>
      <c r="J11" s="113"/>
      <c r="K11" s="113">
        <f aca="true" t="shared" si="5" ref="K11:K17">E11*8%*F11</f>
        <v>624000</v>
      </c>
      <c r="L11" s="113">
        <f t="shared" si="4"/>
        <v>624000</v>
      </c>
      <c r="M11" s="121"/>
      <c r="N11" s="113">
        <f>D11*8%*M11</f>
        <v>0</v>
      </c>
      <c r="O11" s="113">
        <f>123500*6</f>
        <v>741000</v>
      </c>
      <c r="P11" s="113">
        <f aca="true" t="shared" si="6" ref="P11:P17">O11-L11</f>
        <v>117000</v>
      </c>
      <c r="Q11" s="111" t="s">
        <v>224</v>
      </c>
    </row>
    <row r="12" spans="1:17" s="116" customFormat="1" ht="18.75" customHeight="1">
      <c r="A12" s="110" t="s">
        <v>36</v>
      </c>
      <c r="B12" s="111" t="s">
        <v>128</v>
      </c>
      <c r="C12" s="112">
        <v>1</v>
      </c>
      <c r="D12" s="113">
        <f t="shared" si="1"/>
        <v>1300000</v>
      </c>
      <c r="E12" s="114">
        <v>1300000</v>
      </c>
      <c r="F12" s="115">
        <v>6</v>
      </c>
      <c r="G12" s="113"/>
      <c r="H12" s="113">
        <f t="shared" si="2"/>
        <v>1092000.0000000002</v>
      </c>
      <c r="I12" s="113">
        <f t="shared" si="3"/>
        <v>1092000.0000000002</v>
      </c>
      <c r="J12" s="113"/>
      <c r="K12" s="113">
        <f t="shared" si="5"/>
        <v>624000</v>
      </c>
      <c r="L12" s="113">
        <f t="shared" si="4"/>
        <v>624000</v>
      </c>
      <c r="M12" s="121"/>
      <c r="N12" s="113">
        <f>D12*8%*M12</f>
        <v>0</v>
      </c>
      <c r="O12" s="113">
        <f>123500*6</f>
        <v>741000</v>
      </c>
      <c r="P12" s="113">
        <f t="shared" si="6"/>
        <v>117000</v>
      </c>
      <c r="Q12" s="111" t="s">
        <v>224</v>
      </c>
    </row>
    <row r="13" spans="1:17" s="116" customFormat="1" ht="18.75" customHeight="1">
      <c r="A13" s="110" t="s">
        <v>37</v>
      </c>
      <c r="B13" s="111" t="s">
        <v>129</v>
      </c>
      <c r="C13" s="112">
        <v>1</v>
      </c>
      <c r="D13" s="113">
        <f t="shared" si="1"/>
        <v>1300000</v>
      </c>
      <c r="E13" s="114">
        <v>1300000</v>
      </c>
      <c r="F13" s="115">
        <v>6</v>
      </c>
      <c r="G13" s="113"/>
      <c r="H13" s="113">
        <f t="shared" si="2"/>
        <v>1092000.0000000002</v>
      </c>
      <c r="I13" s="113">
        <f t="shared" si="3"/>
        <v>1092000.0000000002</v>
      </c>
      <c r="J13" s="113"/>
      <c r="K13" s="113">
        <f t="shared" si="5"/>
        <v>624000</v>
      </c>
      <c r="L13" s="113">
        <f t="shared" si="4"/>
        <v>624000</v>
      </c>
      <c r="M13" s="121"/>
      <c r="N13" s="113">
        <f>D13*8%*M13</f>
        <v>0</v>
      </c>
      <c r="O13" s="113">
        <f>123500*6</f>
        <v>741000</v>
      </c>
      <c r="P13" s="113">
        <f t="shared" si="6"/>
        <v>117000</v>
      </c>
      <c r="Q13" s="111" t="s">
        <v>224</v>
      </c>
    </row>
    <row r="14" spans="1:17" s="116" customFormat="1" ht="18.75" customHeight="1">
      <c r="A14" s="110" t="s">
        <v>38</v>
      </c>
      <c r="B14" s="111" t="s">
        <v>130</v>
      </c>
      <c r="C14" s="112">
        <v>0.5</v>
      </c>
      <c r="D14" s="113">
        <f t="shared" si="1"/>
        <v>650000</v>
      </c>
      <c r="E14" s="114">
        <v>1300000</v>
      </c>
      <c r="F14" s="115">
        <v>6</v>
      </c>
      <c r="G14" s="113"/>
      <c r="H14" s="113">
        <f t="shared" si="2"/>
        <v>1092000.0000000002</v>
      </c>
      <c r="I14" s="113">
        <f t="shared" si="3"/>
        <v>1092000.0000000002</v>
      </c>
      <c r="J14" s="113"/>
      <c r="K14" s="113">
        <f t="shared" si="5"/>
        <v>624000</v>
      </c>
      <c r="L14" s="113">
        <f t="shared" si="4"/>
        <v>624000</v>
      </c>
      <c r="M14" s="121"/>
      <c r="N14" s="113">
        <f>D14*8%*M14</f>
        <v>0</v>
      </c>
      <c r="O14" s="113">
        <f>61750*6</f>
        <v>370500</v>
      </c>
      <c r="P14" s="113">
        <f t="shared" si="6"/>
        <v>-253500</v>
      </c>
      <c r="Q14" s="111" t="s">
        <v>223</v>
      </c>
    </row>
    <row r="15" spans="1:17" s="116" customFormat="1" ht="18.75" customHeight="1">
      <c r="A15" s="110" t="s">
        <v>39</v>
      </c>
      <c r="B15" s="111" t="s">
        <v>132</v>
      </c>
      <c r="C15" s="112">
        <v>0.7</v>
      </c>
      <c r="D15" s="113">
        <f t="shared" si="1"/>
        <v>910000</v>
      </c>
      <c r="E15" s="114">
        <v>1300000</v>
      </c>
      <c r="F15" s="115">
        <v>6</v>
      </c>
      <c r="G15" s="113"/>
      <c r="H15" s="113">
        <f t="shared" si="2"/>
        <v>1092000.0000000002</v>
      </c>
      <c r="I15" s="113">
        <f t="shared" si="3"/>
        <v>1092000.0000000002</v>
      </c>
      <c r="J15" s="113"/>
      <c r="K15" s="113">
        <f t="shared" si="5"/>
        <v>624000</v>
      </c>
      <c r="L15" s="113">
        <f t="shared" si="4"/>
        <v>624000</v>
      </c>
      <c r="M15" s="121"/>
      <c r="N15" s="113"/>
      <c r="O15" s="113">
        <f>86450*6</f>
        <v>518700</v>
      </c>
      <c r="P15" s="113">
        <f t="shared" si="6"/>
        <v>-105300</v>
      </c>
      <c r="Q15" s="111" t="s">
        <v>223</v>
      </c>
    </row>
    <row r="16" spans="1:17" s="116" customFormat="1" ht="18.75" customHeight="1">
      <c r="A16" s="110" t="s">
        <v>40</v>
      </c>
      <c r="B16" s="111" t="s">
        <v>148</v>
      </c>
      <c r="C16" s="112">
        <v>0.7</v>
      </c>
      <c r="D16" s="113">
        <f t="shared" si="1"/>
        <v>910000</v>
      </c>
      <c r="E16" s="114">
        <v>1300000</v>
      </c>
      <c r="F16" s="115">
        <v>6</v>
      </c>
      <c r="G16" s="113"/>
      <c r="H16" s="113">
        <f t="shared" si="2"/>
        <v>1092000.0000000002</v>
      </c>
      <c r="I16" s="113">
        <f t="shared" si="3"/>
        <v>1092000.0000000002</v>
      </c>
      <c r="J16" s="113"/>
      <c r="K16" s="113">
        <f t="shared" si="5"/>
        <v>624000</v>
      </c>
      <c r="L16" s="113">
        <f t="shared" si="4"/>
        <v>624000</v>
      </c>
      <c r="M16" s="121"/>
      <c r="N16" s="113"/>
      <c r="O16" s="113">
        <f>86450*6</f>
        <v>518700</v>
      </c>
      <c r="P16" s="113">
        <f t="shared" si="6"/>
        <v>-105300</v>
      </c>
      <c r="Q16" s="111" t="s">
        <v>223</v>
      </c>
    </row>
    <row r="17" spans="1:17" s="116" customFormat="1" ht="18.75" customHeight="1">
      <c r="A17" s="110" t="s">
        <v>41</v>
      </c>
      <c r="B17" s="111" t="s">
        <v>134</v>
      </c>
      <c r="C17" s="112">
        <v>0.5</v>
      </c>
      <c r="D17" s="113">
        <f t="shared" si="1"/>
        <v>650000</v>
      </c>
      <c r="E17" s="114">
        <v>1300000</v>
      </c>
      <c r="F17" s="115">
        <v>6</v>
      </c>
      <c r="G17" s="113"/>
      <c r="H17" s="113">
        <f t="shared" si="2"/>
        <v>1092000.0000000002</v>
      </c>
      <c r="I17" s="113">
        <f t="shared" si="3"/>
        <v>1092000.0000000002</v>
      </c>
      <c r="J17" s="113"/>
      <c r="K17" s="113">
        <f t="shared" si="5"/>
        <v>624000</v>
      </c>
      <c r="L17" s="113">
        <f t="shared" si="4"/>
        <v>624000</v>
      </c>
      <c r="M17" s="113"/>
      <c r="N17" s="113"/>
      <c r="O17" s="113"/>
      <c r="P17" s="113">
        <f t="shared" si="6"/>
        <v>-624000</v>
      </c>
      <c r="Q17" s="111" t="s">
        <v>223</v>
      </c>
    </row>
    <row r="18" spans="1:17" s="116" customFormat="1" ht="18.75" customHeight="1">
      <c r="A18" s="110"/>
      <c r="B18" s="111"/>
      <c r="C18" s="112"/>
      <c r="D18" s="113"/>
      <c r="E18" s="114"/>
      <c r="F18" s="114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1"/>
    </row>
    <row r="19" spans="1:17" s="116" customFormat="1" ht="18.75" customHeight="1">
      <c r="A19" s="131"/>
      <c r="B19" s="136" t="s">
        <v>25</v>
      </c>
      <c r="C19" s="137">
        <f>SUM(C20:C21)</f>
        <v>2</v>
      </c>
      <c r="D19" s="138">
        <f>SUM(D20:D21)</f>
        <v>2600000</v>
      </c>
      <c r="E19" s="139"/>
      <c r="F19" s="139"/>
      <c r="G19" s="138">
        <f aca="true" t="shared" si="7" ref="G19:L19">SUM(G20:G21)</f>
        <v>0</v>
      </c>
      <c r="H19" s="138">
        <f t="shared" si="7"/>
        <v>2184000.0000000005</v>
      </c>
      <c r="I19" s="138">
        <f t="shared" si="7"/>
        <v>2184000.0000000005</v>
      </c>
      <c r="J19" s="138">
        <f t="shared" si="7"/>
        <v>0</v>
      </c>
      <c r="K19" s="138">
        <f t="shared" si="7"/>
        <v>1248000</v>
      </c>
      <c r="L19" s="138">
        <f t="shared" si="7"/>
        <v>1248000</v>
      </c>
      <c r="M19" s="138"/>
      <c r="N19" s="140">
        <f>SUM(N20:N21)</f>
        <v>0</v>
      </c>
      <c r="O19" s="138">
        <f>SUM(O20:O21)</f>
        <v>1482000</v>
      </c>
      <c r="P19" s="138">
        <f>SUM(P20:P21)</f>
        <v>234000</v>
      </c>
      <c r="Q19" s="141"/>
    </row>
    <row r="20" spans="1:17" s="116" customFormat="1" ht="18.75" customHeight="1">
      <c r="A20" s="110">
        <v>9</v>
      </c>
      <c r="B20" s="127" t="s">
        <v>135</v>
      </c>
      <c r="C20" s="112">
        <v>1</v>
      </c>
      <c r="D20" s="113">
        <f>(C20*E20)</f>
        <v>1300000</v>
      </c>
      <c r="E20" s="114">
        <v>1300000</v>
      </c>
      <c r="F20" s="115">
        <v>6</v>
      </c>
      <c r="G20" s="113"/>
      <c r="H20" s="113">
        <f>E20*14%*F20</f>
        <v>1092000.0000000002</v>
      </c>
      <c r="I20" s="113">
        <f>G20+H20</f>
        <v>1092000.0000000002</v>
      </c>
      <c r="J20" s="113"/>
      <c r="K20" s="113">
        <f>E20*8%*F20</f>
        <v>624000</v>
      </c>
      <c r="L20" s="113">
        <f>J20+K20</f>
        <v>624000</v>
      </c>
      <c r="M20" s="121"/>
      <c r="N20" s="113">
        <f>D20*8%*M20</f>
        <v>0</v>
      </c>
      <c r="O20" s="113">
        <f>123500*6</f>
        <v>741000</v>
      </c>
      <c r="P20" s="113">
        <f>O20-L20</f>
        <v>117000</v>
      </c>
      <c r="Q20" s="111" t="s">
        <v>224</v>
      </c>
    </row>
    <row r="21" spans="1:17" s="116" customFormat="1" ht="18.75" customHeight="1">
      <c r="A21" s="110">
        <v>10</v>
      </c>
      <c r="B21" s="127" t="s">
        <v>136</v>
      </c>
      <c r="C21" s="112">
        <v>1</v>
      </c>
      <c r="D21" s="113">
        <f>(C21*E21)</f>
        <v>1300000</v>
      </c>
      <c r="E21" s="114">
        <v>1300000</v>
      </c>
      <c r="F21" s="115">
        <v>6</v>
      </c>
      <c r="G21" s="113"/>
      <c r="H21" s="113">
        <f>E21*14%*F21</f>
        <v>1092000.0000000002</v>
      </c>
      <c r="I21" s="113">
        <f>G21+H21</f>
        <v>1092000.0000000002</v>
      </c>
      <c r="J21" s="113"/>
      <c r="K21" s="113">
        <f>E21*8%*F21</f>
        <v>624000</v>
      </c>
      <c r="L21" s="113">
        <f>J21+K21</f>
        <v>624000</v>
      </c>
      <c r="M21" s="121"/>
      <c r="N21" s="113">
        <f>D21*8%*M21</f>
        <v>0</v>
      </c>
      <c r="O21" s="113">
        <f>123500*6</f>
        <v>741000</v>
      </c>
      <c r="P21" s="113">
        <f>O21-L21</f>
        <v>117000</v>
      </c>
      <c r="Q21" s="111" t="s">
        <v>224</v>
      </c>
    </row>
    <row r="22" spans="1:17" s="116" customFormat="1" ht="18.75" customHeight="1">
      <c r="A22" s="131"/>
      <c r="B22" s="141" t="s">
        <v>1</v>
      </c>
      <c r="C22" s="142">
        <f>C23</f>
        <v>1</v>
      </c>
      <c r="D22" s="139">
        <f>D23</f>
        <v>1300000</v>
      </c>
      <c r="E22" s="143"/>
      <c r="F22" s="143"/>
      <c r="G22" s="139">
        <f aca="true" t="shared" si="8" ref="G22:L22">G23</f>
        <v>0</v>
      </c>
      <c r="H22" s="139">
        <f t="shared" si="8"/>
        <v>364000.00000000006</v>
      </c>
      <c r="I22" s="139">
        <f t="shared" si="8"/>
        <v>364000.00000000006</v>
      </c>
      <c r="J22" s="139">
        <f t="shared" si="8"/>
        <v>0</v>
      </c>
      <c r="K22" s="139">
        <f t="shared" si="8"/>
        <v>208000</v>
      </c>
      <c r="L22" s="139">
        <f t="shared" si="8"/>
        <v>208000</v>
      </c>
      <c r="M22" s="139"/>
      <c r="N22" s="139">
        <f>N23</f>
        <v>0</v>
      </c>
      <c r="O22" s="139">
        <f>O23</f>
        <v>0</v>
      </c>
      <c r="P22" s="139">
        <f>P23</f>
        <v>-208000</v>
      </c>
      <c r="Q22" s="141"/>
    </row>
    <row r="23" spans="1:17" s="116" customFormat="1" ht="18.75" customHeight="1">
      <c r="A23" s="110">
        <v>11</v>
      </c>
      <c r="B23" s="127" t="s">
        <v>137</v>
      </c>
      <c r="C23" s="112">
        <v>1</v>
      </c>
      <c r="D23" s="113">
        <f>(C23*E23)</f>
        <v>1300000</v>
      </c>
      <c r="E23" s="114">
        <v>1300000</v>
      </c>
      <c r="F23" s="115">
        <v>2</v>
      </c>
      <c r="G23" s="113"/>
      <c r="H23" s="113">
        <f>E23*F23*14%</f>
        <v>364000.00000000006</v>
      </c>
      <c r="I23" s="113">
        <f>H23</f>
        <v>364000.00000000006</v>
      </c>
      <c r="J23" s="113"/>
      <c r="K23" s="113">
        <f>E23*F23*8%</f>
        <v>208000</v>
      </c>
      <c r="L23" s="113">
        <f>K23</f>
        <v>208000</v>
      </c>
      <c r="M23" s="121"/>
      <c r="N23" s="113"/>
      <c r="O23" s="113"/>
      <c r="P23" s="113">
        <f>O23-L23</f>
        <v>-208000</v>
      </c>
      <c r="Q23" s="111" t="s">
        <v>232</v>
      </c>
    </row>
    <row r="24" spans="1:17" s="116" customFormat="1" ht="18.75" customHeight="1">
      <c r="A24" s="131"/>
      <c r="B24" s="141" t="s">
        <v>3</v>
      </c>
      <c r="C24" s="142">
        <f>C25</f>
        <v>0.7</v>
      </c>
      <c r="D24" s="139">
        <f>D25</f>
        <v>910000</v>
      </c>
      <c r="E24" s="143"/>
      <c r="F24" s="143"/>
      <c r="G24" s="139">
        <f aca="true" t="shared" si="9" ref="G24:L24">G25</f>
        <v>0</v>
      </c>
      <c r="H24" s="139">
        <f t="shared" si="9"/>
        <v>1092000.0000000002</v>
      </c>
      <c r="I24" s="139">
        <f t="shared" si="9"/>
        <v>1092000.0000000002</v>
      </c>
      <c r="J24" s="139">
        <f t="shared" si="9"/>
        <v>0</v>
      </c>
      <c r="K24" s="139">
        <f t="shared" si="9"/>
        <v>624000</v>
      </c>
      <c r="L24" s="139">
        <f t="shared" si="9"/>
        <v>624000</v>
      </c>
      <c r="M24" s="139"/>
      <c r="N24" s="139">
        <f>N25</f>
        <v>0</v>
      </c>
      <c r="O24" s="139">
        <f>O25</f>
        <v>518700</v>
      </c>
      <c r="P24" s="139">
        <f>P25</f>
        <v>-105300</v>
      </c>
      <c r="Q24" s="141"/>
    </row>
    <row r="25" spans="1:17" s="116" customFormat="1" ht="18.75" customHeight="1">
      <c r="A25" s="131">
        <v>12</v>
      </c>
      <c r="B25" s="111" t="s">
        <v>149</v>
      </c>
      <c r="C25" s="112">
        <v>0.7</v>
      </c>
      <c r="D25" s="113">
        <f>(C25*E25)</f>
        <v>910000</v>
      </c>
      <c r="E25" s="114">
        <v>1300000</v>
      </c>
      <c r="F25" s="115">
        <v>6</v>
      </c>
      <c r="G25" s="113"/>
      <c r="H25" s="113">
        <f>E25*14%*F25</f>
        <v>1092000.0000000002</v>
      </c>
      <c r="I25" s="113">
        <f>G25+H25</f>
        <v>1092000.0000000002</v>
      </c>
      <c r="J25" s="113"/>
      <c r="K25" s="113">
        <f>E25*8%*F25</f>
        <v>624000</v>
      </c>
      <c r="L25" s="113">
        <f>J25+K25</f>
        <v>624000</v>
      </c>
      <c r="M25" s="121"/>
      <c r="N25" s="113">
        <f>D25*8%*M25</f>
        <v>0</v>
      </c>
      <c r="O25" s="113">
        <f>86450*6</f>
        <v>518700</v>
      </c>
      <c r="P25" s="113">
        <f>O25-L25</f>
        <v>-105300</v>
      </c>
      <c r="Q25" s="111" t="s">
        <v>223</v>
      </c>
    </row>
    <row r="26" spans="1:16" s="116" customFormat="1" ht="18.75" customHeight="1">
      <c r="A26" s="131"/>
      <c r="B26" s="141" t="s">
        <v>4</v>
      </c>
      <c r="C26" s="142">
        <f>C27</f>
        <v>0.7</v>
      </c>
      <c r="D26" s="139">
        <f>D27</f>
        <v>910000</v>
      </c>
      <c r="E26" s="143"/>
      <c r="F26" s="143"/>
      <c r="G26" s="139">
        <f aca="true" t="shared" si="10" ref="G26:L26">G27</f>
        <v>0</v>
      </c>
      <c r="H26" s="139">
        <f t="shared" si="10"/>
        <v>1092000.0000000002</v>
      </c>
      <c r="I26" s="139">
        <f t="shared" si="10"/>
        <v>1092000.0000000002</v>
      </c>
      <c r="J26" s="139">
        <f t="shared" si="10"/>
        <v>0</v>
      </c>
      <c r="K26" s="139">
        <f t="shared" si="10"/>
        <v>624000</v>
      </c>
      <c r="L26" s="139">
        <f t="shared" si="10"/>
        <v>624000</v>
      </c>
      <c r="M26" s="139"/>
      <c r="N26" s="139">
        <f>N27</f>
        <v>0</v>
      </c>
      <c r="O26" s="139">
        <f>O27</f>
        <v>518700</v>
      </c>
      <c r="P26" s="139">
        <f>P27</f>
        <v>-105300</v>
      </c>
    </row>
    <row r="27" spans="1:17" s="116" customFormat="1" ht="18.75" customHeight="1">
      <c r="A27" s="131">
        <v>13</v>
      </c>
      <c r="B27" s="111" t="s">
        <v>221</v>
      </c>
      <c r="C27" s="112">
        <v>0.7</v>
      </c>
      <c r="D27" s="113">
        <f>(C27*E27)</f>
        <v>910000</v>
      </c>
      <c r="E27" s="114">
        <v>1300000</v>
      </c>
      <c r="F27" s="115">
        <v>6</v>
      </c>
      <c r="G27" s="113"/>
      <c r="H27" s="113">
        <f>E27*14%*F27</f>
        <v>1092000.0000000002</v>
      </c>
      <c r="I27" s="113">
        <f>G27+H27</f>
        <v>1092000.0000000002</v>
      </c>
      <c r="J27" s="113"/>
      <c r="K27" s="113">
        <f>E27*8%*F27</f>
        <v>624000</v>
      </c>
      <c r="L27" s="113">
        <f>J27+K27</f>
        <v>624000</v>
      </c>
      <c r="M27" s="121"/>
      <c r="N27" s="113">
        <f>D27*8%*M27</f>
        <v>0</v>
      </c>
      <c r="O27" s="113">
        <f>86450*6</f>
        <v>518700</v>
      </c>
      <c r="P27" s="113">
        <f>O27-L27</f>
        <v>-105300</v>
      </c>
      <c r="Q27" s="111" t="s">
        <v>223</v>
      </c>
    </row>
    <row r="28" spans="1:17" s="116" customFormat="1" ht="18.75" customHeight="1">
      <c r="A28" s="131"/>
      <c r="B28" s="141" t="s">
        <v>5</v>
      </c>
      <c r="C28" s="142">
        <f>C29</f>
        <v>0.7</v>
      </c>
      <c r="D28" s="139">
        <f>D29</f>
        <v>910000</v>
      </c>
      <c r="E28" s="143"/>
      <c r="F28" s="143"/>
      <c r="G28" s="134">
        <f aca="true" t="shared" si="11" ref="G28:L28">G29</f>
        <v>0</v>
      </c>
      <c r="H28" s="134">
        <f t="shared" si="11"/>
        <v>1092000.0000000002</v>
      </c>
      <c r="I28" s="134">
        <f t="shared" si="11"/>
        <v>1092000.0000000002</v>
      </c>
      <c r="J28" s="134">
        <f t="shared" si="11"/>
        <v>0</v>
      </c>
      <c r="K28" s="134">
        <f t="shared" si="11"/>
        <v>624000</v>
      </c>
      <c r="L28" s="134">
        <f t="shared" si="11"/>
        <v>624000</v>
      </c>
      <c r="M28" s="134"/>
      <c r="N28" s="134">
        <f>N29</f>
        <v>0</v>
      </c>
      <c r="O28" s="134">
        <f>O29</f>
        <v>518700</v>
      </c>
      <c r="P28" s="134">
        <f>P29</f>
        <v>-105300</v>
      </c>
      <c r="Q28" s="141"/>
    </row>
    <row r="29" spans="1:17" s="116" customFormat="1" ht="18.75" customHeight="1">
      <c r="A29" s="131">
        <v>14</v>
      </c>
      <c r="B29" s="111" t="s">
        <v>138</v>
      </c>
      <c r="C29" s="112">
        <v>0.7</v>
      </c>
      <c r="D29" s="113">
        <f>(C29*E29)</f>
        <v>910000</v>
      </c>
      <c r="E29" s="114">
        <v>1300000</v>
      </c>
      <c r="F29" s="115">
        <v>6</v>
      </c>
      <c r="G29" s="113"/>
      <c r="H29" s="113">
        <f>E29*14%*F29</f>
        <v>1092000.0000000002</v>
      </c>
      <c r="I29" s="113">
        <f>G29+H29</f>
        <v>1092000.0000000002</v>
      </c>
      <c r="J29" s="113"/>
      <c r="K29" s="113">
        <f>E29*8%*F29</f>
        <v>624000</v>
      </c>
      <c r="L29" s="113">
        <f>J29+K29</f>
        <v>624000</v>
      </c>
      <c r="M29" s="121"/>
      <c r="N29" s="113">
        <f>D29*8%*M29</f>
        <v>0</v>
      </c>
      <c r="O29" s="113">
        <f>86450*6</f>
        <v>518700</v>
      </c>
      <c r="P29" s="113">
        <f>O29-L29</f>
        <v>-105300</v>
      </c>
      <c r="Q29" s="111" t="s">
        <v>223</v>
      </c>
    </row>
    <row r="30" spans="1:17" s="116" customFormat="1" ht="18.75" customHeight="1">
      <c r="A30" s="131"/>
      <c r="B30" s="141" t="s">
        <v>6</v>
      </c>
      <c r="C30" s="144">
        <f>C31</f>
        <v>0.7</v>
      </c>
      <c r="D30" s="139">
        <f>D31</f>
        <v>910000</v>
      </c>
      <c r="E30" s="139"/>
      <c r="F30" s="139"/>
      <c r="G30" s="139">
        <f aca="true" t="shared" si="12" ref="G30:L30">G31</f>
        <v>0</v>
      </c>
      <c r="H30" s="139">
        <f t="shared" si="12"/>
        <v>1092000.0000000002</v>
      </c>
      <c r="I30" s="139">
        <f t="shared" si="12"/>
        <v>1092000.0000000002</v>
      </c>
      <c r="J30" s="139">
        <f t="shared" si="12"/>
        <v>0</v>
      </c>
      <c r="K30" s="139">
        <f t="shared" si="12"/>
        <v>624000</v>
      </c>
      <c r="L30" s="139">
        <f t="shared" si="12"/>
        <v>624000</v>
      </c>
      <c r="M30" s="139"/>
      <c r="N30" s="139">
        <f>N31</f>
        <v>0</v>
      </c>
      <c r="O30" s="139">
        <f>O31</f>
        <v>518700</v>
      </c>
      <c r="P30" s="139">
        <f>P31</f>
        <v>-105300</v>
      </c>
      <c r="Q30" s="141"/>
    </row>
    <row r="31" spans="1:17" s="116" customFormat="1" ht="18.75" customHeight="1">
      <c r="A31" s="131">
        <v>15</v>
      </c>
      <c r="B31" s="111" t="s">
        <v>139</v>
      </c>
      <c r="C31" s="112">
        <v>0.7</v>
      </c>
      <c r="D31" s="113">
        <f>(C31*E31)</f>
        <v>910000</v>
      </c>
      <c r="E31" s="114">
        <v>1300000</v>
      </c>
      <c r="F31" s="115">
        <v>6</v>
      </c>
      <c r="G31" s="113"/>
      <c r="H31" s="113">
        <f>E31*14%*F31</f>
        <v>1092000.0000000002</v>
      </c>
      <c r="I31" s="113">
        <f>G31+H31</f>
        <v>1092000.0000000002</v>
      </c>
      <c r="J31" s="113"/>
      <c r="K31" s="113">
        <f>E31*8%*F31</f>
        <v>624000</v>
      </c>
      <c r="L31" s="113">
        <f>J31+K31</f>
        <v>624000</v>
      </c>
      <c r="M31" s="121"/>
      <c r="N31" s="113">
        <f>D31*8%*M31</f>
        <v>0</v>
      </c>
      <c r="O31" s="113">
        <f>86450*6</f>
        <v>518700</v>
      </c>
      <c r="P31" s="113">
        <f>O31-L31</f>
        <v>-105300</v>
      </c>
      <c r="Q31" s="111" t="s">
        <v>223</v>
      </c>
    </row>
    <row r="32" spans="1:17" s="116" customFormat="1" ht="18.75" customHeight="1">
      <c r="A32" s="131"/>
      <c r="B32" s="141" t="s">
        <v>2</v>
      </c>
      <c r="C32" s="144">
        <f>SUM(C33:C35)</f>
        <v>2.0999999999999996</v>
      </c>
      <c r="D32" s="145">
        <f>SUM(D33:D35)</f>
        <v>2730000</v>
      </c>
      <c r="E32" s="143"/>
      <c r="F32" s="143"/>
      <c r="G32" s="145">
        <f aca="true" t="shared" si="13" ref="G32:L32">SUM(G33:G35)</f>
        <v>0</v>
      </c>
      <c r="H32" s="145">
        <f t="shared" si="13"/>
        <v>3276000.000000001</v>
      </c>
      <c r="I32" s="145">
        <f t="shared" si="13"/>
        <v>3276000.000000001</v>
      </c>
      <c r="J32" s="145">
        <f t="shared" si="13"/>
        <v>0</v>
      </c>
      <c r="K32" s="145">
        <f t="shared" si="13"/>
        <v>1872000</v>
      </c>
      <c r="L32" s="145">
        <f t="shared" si="13"/>
        <v>1872000</v>
      </c>
      <c r="M32" s="139"/>
      <c r="N32" s="139">
        <f>N33+N35</f>
        <v>0</v>
      </c>
      <c r="O32" s="139">
        <f>O33+O34+O35</f>
        <v>1556100</v>
      </c>
      <c r="P32" s="139">
        <f>P33+P34+P35</f>
        <v>-315900</v>
      </c>
      <c r="Q32" s="141"/>
    </row>
    <row r="33" spans="1:17" s="116" customFormat="1" ht="18.75" customHeight="1">
      <c r="A33" s="110">
        <v>16</v>
      </c>
      <c r="B33" s="111" t="s">
        <v>140</v>
      </c>
      <c r="C33" s="112">
        <v>0.7</v>
      </c>
      <c r="D33" s="113">
        <f>(C33*E33)</f>
        <v>910000</v>
      </c>
      <c r="E33" s="114">
        <v>1300000</v>
      </c>
      <c r="F33" s="115">
        <v>6</v>
      </c>
      <c r="G33" s="113"/>
      <c r="H33" s="113">
        <f>E33*14%*F33</f>
        <v>1092000.0000000002</v>
      </c>
      <c r="I33" s="113">
        <f>G33+H33</f>
        <v>1092000.0000000002</v>
      </c>
      <c r="J33" s="113"/>
      <c r="K33" s="113">
        <f>E33*8%*F33</f>
        <v>624000</v>
      </c>
      <c r="L33" s="113">
        <f>J33+K33</f>
        <v>624000</v>
      </c>
      <c r="M33" s="121"/>
      <c r="N33" s="113">
        <f>D33*8%*M33</f>
        <v>0</v>
      </c>
      <c r="O33" s="113">
        <f>86450*6</f>
        <v>518700</v>
      </c>
      <c r="P33" s="113">
        <f>O33-L33</f>
        <v>-105300</v>
      </c>
      <c r="Q33" s="111" t="s">
        <v>223</v>
      </c>
    </row>
    <row r="34" spans="1:17" s="116" customFormat="1" ht="18.75" customHeight="1">
      <c r="A34" s="110">
        <v>17</v>
      </c>
      <c r="B34" s="111" t="s">
        <v>237</v>
      </c>
      <c r="C34" s="112">
        <v>0.7</v>
      </c>
      <c r="D34" s="113">
        <f>(C34*E34)</f>
        <v>910000</v>
      </c>
      <c r="E34" s="114">
        <v>1300000</v>
      </c>
      <c r="F34" s="115">
        <v>6</v>
      </c>
      <c r="G34" s="113"/>
      <c r="H34" s="113">
        <f>E34*14%*F34</f>
        <v>1092000.0000000002</v>
      </c>
      <c r="I34" s="113">
        <f>G34+H34</f>
        <v>1092000.0000000002</v>
      </c>
      <c r="J34" s="113"/>
      <c r="K34" s="113">
        <f>E34*8%*F34</f>
        <v>624000</v>
      </c>
      <c r="L34" s="113">
        <f>J34+K34</f>
        <v>624000</v>
      </c>
      <c r="M34" s="121"/>
      <c r="N34" s="113">
        <f>D34*8%*M34</f>
        <v>0</v>
      </c>
      <c r="O34" s="113">
        <f>86450*6</f>
        <v>518700</v>
      </c>
      <c r="P34" s="113">
        <f>O34-L34</f>
        <v>-105300</v>
      </c>
      <c r="Q34" s="111" t="s">
        <v>223</v>
      </c>
    </row>
    <row r="35" spans="1:17" s="116" customFormat="1" ht="18.75" customHeight="1">
      <c r="A35" s="110">
        <v>18</v>
      </c>
      <c r="B35" s="111" t="s">
        <v>131</v>
      </c>
      <c r="C35" s="112">
        <v>0.7</v>
      </c>
      <c r="D35" s="113">
        <f>(C35*E35)</f>
        <v>910000</v>
      </c>
      <c r="E35" s="114">
        <v>1300000</v>
      </c>
      <c r="F35" s="115">
        <v>6</v>
      </c>
      <c r="G35" s="113"/>
      <c r="H35" s="113">
        <f>E35*14%*F35</f>
        <v>1092000.0000000002</v>
      </c>
      <c r="I35" s="113">
        <f>G35+H35</f>
        <v>1092000.0000000002</v>
      </c>
      <c r="J35" s="113"/>
      <c r="K35" s="113">
        <f>E35*8%*F35</f>
        <v>624000</v>
      </c>
      <c r="L35" s="113">
        <f>J35+K35</f>
        <v>624000</v>
      </c>
      <c r="M35" s="121"/>
      <c r="N35" s="113">
        <f>D35*8%*M35</f>
        <v>0</v>
      </c>
      <c r="O35" s="113">
        <f>86450*6</f>
        <v>518700</v>
      </c>
      <c r="P35" s="113">
        <f>O35-L35</f>
        <v>-105300</v>
      </c>
      <c r="Q35" s="111" t="s">
        <v>223</v>
      </c>
    </row>
    <row r="36" spans="1:17" s="116" customFormat="1" ht="18.75" customHeight="1">
      <c r="A36" s="141"/>
      <c r="B36" s="141" t="s">
        <v>12</v>
      </c>
      <c r="C36" s="146">
        <f>SUM(C37:C38)</f>
        <v>1.4</v>
      </c>
      <c r="D36" s="147">
        <f>SUM(D37:D38)</f>
        <v>1820000</v>
      </c>
      <c r="E36" s="139"/>
      <c r="F36" s="139"/>
      <c r="G36" s="139">
        <f aca="true" t="shared" si="14" ref="G36:L36">SUM(G37:G38)</f>
        <v>0</v>
      </c>
      <c r="H36" s="139">
        <f t="shared" si="14"/>
        <v>2184000.0000000005</v>
      </c>
      <c r="I36" s="139">
        <f t="shared" si="14"/>
        <v>2184000.0000000005</v>
      </c>
      <c r="J36" s="139">
        <f t="shared" si="14"/>
        <v>0</v>
      </c>
      <c r="K36" s="139">
        <f t="shared" si="14"/>
        <v>1248000</v>
      </c>
      <c r="L36" s="139">
        <f t="shared" si="14"/>
        <v>1248000</v>
      </c>
      <c r="M36" s="139"/>
      <c r="N36" s="139">
        <f>SUM(N37:N38)</f>
        <v>0</v>
      </c>
      <c r="O36" s="139">
        <f>SUM(O37:O38)</f>
        <v>1037400</v>
      </c>
      <c r="P36" s="139">
        <f>SUM(P37:P38)</f>
        <v>-210600</v>
      </c>
      <c r="Q36" s="141"/>
    </row>
    <row r="37" spans="1:17" s="116" customFormat="1" ht="18.75" customHeight="1">
      <c r="A37" s="110">
        <v>19</v>
      </c>
      <c r="B37" s="111" t="s">
        <v>141</v>
      </c>
      <c r="C37" s="112">
        <v>0.7</v>
      </c>
      <c r="D37" s="113">
        <f>(C37*E37)</f>
        <v>910000</v>
      </c>
      <c r="E37" s="114">
        <v>1300000</v>
      </c>
      <c r="F37" s="115">
        <v>6</v>
      </c>
      <c r="G37" s="113"/>
      <c r="H37" s="113">
        <f>E37*14%*F37</f>
        <v>1092000.0000000002</v>
      </c>
      <c r="I37" s="113">
        <f>G37+H37</f>
        <v>1092000.0000000002</v>
      </c>
      <c r="J37" s="113"/>
      <c r="K37" s="113">
        <f>E37*8%*F37</f>
        <v>624000</v>
      </c>
      <c r="L37" s="113">
        <f>J37+K37</f>
        <v>624000</v>
      </c>
      <c r="M37" s="121"/>
      <c r="N37" s="113">
        <f>D37*8%*M37</f>
        <v>0</v>
      </c>
      <c r="O37" s="113">
        <f>86450*6</f>
        <v>518700</v>
      </c>
      <c r="P37" s="113">
        <f>O37-L37</f>
        <v>-105300</v>
      </c>
      <c r="Q37" s="111" t="s">
        <v>223</v>
      </c>
    </row>
    <row r="38" spans="1:17" s="116" customFormat="1" ht="18.75" customHeight="1">
      <c r="A38" s="110">
        <v>20</v>
      </c>
      <c r="B38" s="111" t="s">
        <v>142</v>
      </c>
      <c r="C38" s="112">
        <v>0.7</v>
      </c>
      <c r="D38" s="113">
        <f>(C38*E38)</f>
        <v>910000</v>
      </c>
      <c r="E38" s="114">
        <v>1300000</v>
      </c>
      <c r="F38" s="115">
        <v>6</v>
      </c>
      <c r="G38" s="113"/>
      <c r="H38" s="113">
        <f>E38*14%*F38</f>
        <v>1092000.0000000002</v>
      </c>
      <c r="I38" s="113">
        <f>G38+H38</f>
        <v>1092000.0000000002</v>
      </c>
      <c r="J38" s="113"/>
      <c r="K38" s="113">
        <f>E38*8%*F38</f>
        <v>624000</v>
      </c>
      <c r="L38" s="113">
        <f>J38+K38</f>
        <v>624000</v>
      </c>
      <c r="M38" s="121"/>
      <c r="N38" s="113">
        <f>D38*8%*M38</f>
        <v>0</v>
      </c>
      <c r="O38" s="113">
        <f>86450*6</f>
        <v>518700</v>
      </c>
      <c r="P38" s="113">
        <f>O38-L38</f>
        <v>-105300</v>
      </c>
      <c r="Q38" s="111" t="s">
        <v>223</v>
      </c>
    </row>
    <row r="39" spans="1:17" s="116" customFormat="1" ht="26.25" customHeight="1">
      <c r="A39" s="131"/>
      <c r="B39" s="141" t="s">
        <v>13</v>
      </c>
      <c r="C39" s="148">
        <f>C9+C19+C22+C24+C26+C28+C30+C32+C36</f>
        <v>15.699999999999998</v>
      </c>
      <c r="D39" s="149">
        <f>D9+D19+D22+D24+D26+D28+D30+D32+D36</f>
        <v>20410000</v>
      </c>
      <c r="E39" s="149"/>
      <c r="F39" s="149"/>
      <c r="G39" s="149">
        <f aca="true" t="shared" si="15" ref="G39:L39">G9+G19+G22+G24+G26+G28+G30+G32+G36</f>
        <v>0</v>
      </c>
      <c r="H39" s="149">
        <f t="shared" si="15"/>
        <v>21112000.000000004</v>
      </c>
      <c r="I39" s="149">
        <f t="shared" si="15"/>
        <v>21112000.000000004</v>
      </c>
      <c r="J39" s="149">
        <f t="shared" si="15"/>
        <v>0</v>
      </c>
      <c r="K39" s="149">
        <f t="shared" si="15"/>
        <v>12064000</v>
      </c>
      <c r="L39" s="149">
        <f t="shared" si="15"/>
        <v>12064000</v>
      </c>
      <c r="M39" s="149"/>
      <c r="N39" s="149">
        <f>N9+N19+N22+N24+N26+N28+N30+N32+N36</f>
        <v>0</v>
      </c>
      <c r="O39" s="149">
        <f>O9+O19+O22+O24+O26+O28+O30+O32+O36</f>
        <v>10522200</v>
      </c>
      <c r="P39" s="149">
        <f>P9+P19+P22+P24+P26+P28+P30+P32+P36</f>
        <v>-1541800</v>
      </c>
      <c r="Q39" s="111"/>
    </row>
    <row r="40" spans="3:13" ht="15.75">
      <c r="C40" s="47"/>
      <c r="D40" s="36"/>
      <c r="G40" s="156"/>
      <c r="H40" s="156"/>
      <c r="I40" s="52"/>
      <c r="J40" s="156"/>
      <c r="K40" s="156"/>
      <c r="L40" s="58"/>
      <c r="M40" s="117"/>
    </row>
    <row r="41" spans="1:13" ht="15.75">
      <c r="A41" s="158"/>
      <c r="B41" s="158"/>
      <c r="C41" s="8"/>
      <c r="D41" s="36"/>
      <c r="E41" s="5"/>
      <c r="F41" s="5"/>
      <c r="G41" s="158"/>
      <c r="H41" s="158"/>
      <c r="I41" s="66"/>
      <c r="J41" s="158"/>
      <c r="K41" s="158"/>
      <c r="L41" s="65"/>
      <c r="M41" s="118"/>
    </row>
    <row r="42" ht="17.25">
      <c r="D42" s="49"/>
    </row>
    <row r="50" ht="15.75">
      <c r="D50" s="50">
        <f>SUM(D44:D49)</f>
        <v>0</v>
      </c>
    </row>
  </sheetData>
  <sheetProtection/>
  <mergeCells count="21">
    <mergeCell ref="E5:E7"/>
    <mergeCell ref="J5:L6"/>
    <mergeCell ref="G5:I6"/>
    <mergeCell ref="A41:B41"/>
    <mergeCell ref="G41:H41"/>
    <mergeCell ref="J41:K41"/>
    <mergeCell ref="G40:H40"/>
    <mergeCell ref="D6:D7"/>
    <mergeCell ref="C5:D5"/>
    <mergeCell ref="J40:K40"/>
    <mergeCell ref="A5:A7"/>
    <mergeCell ref="M5:M7"/>
    <mergeCell ref="C6:C7"/>
    <mergeCell ref="A1:Q1"/>
    <mergeCell ref="N5:N7"/>
    <mergeCell ref="O5:O7"/>
    <mergeCell ref="P5:P7"/>
    <mergeCell ref="F5:F7"/>
    <mergeCell ref="B5:B7"/>
    <mergeCell ref="A2:Q2"/>
    <mergeCell ref="Q5:Q7"/>
  </mergeCells>
  <printOptions horizontalCentered="1"/>
  <pageMargins left="0.25" right="0.25" top="0.5" bottom="0.5" header="0.39" footer="0.5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0"/>
  <sheetViews>
    <sheetView tabSelected="1" view="pageBreakPreview" zoomScale="90" zoomScaleNormal="90" zoomScaleSheetLayoutView="90" zoomScalePageLayoutView="0" workbookViewId="0" topLeftCell="A1">
      <selection activeCell="I8" sqref="I8"/>
    </sheetView>
  </sheetViews>
  <sheetFormatPr defaultColWidth="9.00390625" defaultRowHeight="15.75"/>
  <cols>
    <col min="1" max="1" width="3.50390625" style="6" customWidth="1"/>
    <col min="2" max="2" width="15.875" style="6" customWidth="1"/>
    <col min="3" max="3" width="8.00390625" style="6" customWidth="1"/>
    <col min="4" max="4" width="10.875" style="6" customWidth="1"/>
    <col min="5" max="5" width="9.625" style="6" customWidth="1"/>
    <col min="6" max="6" width="7.875" style="6" customWidth="1"/>
    <col min="7" max="7" width="9.125" style="6" customWidth="1"/>
    <col min="8" max="8" width="11.375" style="6" customWidth="1"/>
    <col min="9" max="9" width="11.125" style="51" customWidth="1"/>
    <col min="10" max="10" width="8.375" style="6" customWidth="1"/>
    <col min="11" max="11" width="11.50390625" style="6" customWidth="1"/>
    <col min="12" max="12" width="11.00390625" style="56" customWidth="1"/>
    <col min="13" max="13" width="11.00390625" style="105" hidden="1" customWidth="1"/>
    <col min="14" max="14" width="10.50390625" style="6" customWidth="1"/>
    <col min="15" max="16" width="11.00390625" style="6" customWidth="1"/>
    <col min="17" max="17" width="45.625" style="6" customWidth="1"/>
    <col min="18" max="18" width="11.125" style="6" bestFit="1" customWidth="1"/>
    <col min="19" max="16384" width="9.00390625" style="6" customWidth="1"/>
  </cols>
  <sheetData>
    <row r="1" spans="1:19" ht="21.75" customHeight="1">
      <c r="A1" s="158" t="s">
        <v>235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37"/>
      <c r="S1" s="37"/>
    </row>
    <row r="2" spans="1:17" ht="21" customHeight="1">
      <c r="A2" s="158" t="s">
        <v>240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21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 t="s">
        <v>239</v>
      </c>
    </row>
    <row r="4" spans="4:17" ht="15.75">
      <c r="D4" s="38"/>
      <c r="I4" s="6"/>
      <c r="L4" s="6"/>
      <c r="M4" s="6"/>
      <c r="Q4" s="73" t="s">
        <v>233</v>
      </c>
    </row>
    <row r="5" spans="1:17" ht="15.75" customHeight="1">
      <c r="A5" s="171" t="s">
        <v>14</v>
      </c>
      <c r="B5" s="171" t="s">
        <v>24</v>
      </c>
      <c r="C5" s="174" t="s">
        <v>7</v>
      </c>
      <c r="D5" s="175"/>
      <c r="E5" s="159" t="s">
        <v>31</v>
      </c>
      <c r="F5" s="159" t="s">
        <v>72</v>
      </c>
      <c r="G5" s="162" t="s">
        <v>22</v>
      </c>
      <c r="H5" s="163"/>
      <c r="I5" s="164"/>
      <c r="J5" s="162" t="s">
        <v>21</v>
      </c>
      <c r="K5" s="163"/>
      <c r="L5" s="164"/>
      <c r="M5" s="177"/>
      <c r="N5" s="159" t="s">
        <v>236</v>
      </c>
      <c r="O5" s="159" t="s">
        <v>226</v>
      </c>
      <c r="P5" s="159" t="s">
        <v>225</v>
      </c>
      <c r="Q5" s="159" t="s">
        <v>16</v>
      </c>
    </row>
    <row r="6" spans="1:17" ht="30" customHeight="1">
      <c r="A6" s="172"/>
      <c r="B6" s="172"/>
      <c r="C6" s="159" t="s">
        <v>9</v>
      </c>
      <c r="D6" s="159" t="s">
        <v>8</v>
      </c>
      <c r="E6" s="160"/>
      <c r="F6" s="160"/>
      <c r="G6" s="165"/>
      <c r="H6" s="166"/>
      <c r="I6" s="167"/>
      <c r="J6" s="165"/>
      <c r="K6" s="166"/>
      <c r="L6" s="167"/>
      <c r="M6" s="178"/>
      <c r="N6" s="160"/>
      <c r="O6" s="160"/>
      <c r="P6" s="160"/>
      <c r="Q6" s="160"/>
    </row>
    <row r="7" spans="1:17" s="116" customFormat="1" ht="79.5" customHeight="1">
      <c r="A7" s="173"/>
      <c r="B7" s="173"/>
      <c r="C7" s="161"/>
      <c r="D7" s="161"/>
      <c r="E7" s="161"/>
      <c r="F7" s="160"/>
      <c r="G7" s="128" t="s">
        <v>17</v>
      </c>
      <c r="H7" s="128" t="s">
        <v>20</v>
      </c>
      <c r="I7" s="128" t="s">
        <v>13</v>
      </c>
      <c r="J7" s="128" t="s">
        <v>18</v>
      </c>
      <c r="K7" s="128" t="s">
        <v>19</v>
      </c>
      <c r="L7" s="128" t="s">
        <v>13</v>
      </c>
      <c r="M7" s="179"/>
      <c r="N7" s="161"/>
      <c r="O7" s="161"/>
      <c r="P7" s="161"/>
      <c r="Q7" s="161"/>
    </row>
    <row r="8" spans="1:17" s="116" customFormat="1" ht="18.75" customHeight="1">
      <c r="A8" s="129" t="s">
        <v>34</v>
      </c>
      <c r="B8" s="129" t="s">
        <v>35</v>
      </c>
      <c r="C8" s="129" t="s">
        <v>36</v>
      </c>
      <c r="D8" s="129" t="s">
        <v>37</v>
      </c>
      <c r="E8" s="129">
        <v>5</v>
      </c>
      <c r="F8" s="130">
        <v>6</v>
      </c>
      <c r="G8" s="130">
        <v>7</v>
      </c>
      <c r="H8" s="130">
        <v>8</v>
      </c>
      <c r="I8" s="130">
        <v>9</v>
      </c>
      <c r="J8" s="130">
        <v>10</v>
      </c>
      <c r="K8" s="130">
        <v>11</v>
      </c>
      <c r="L8" s="130">
        <v>12</v>
      </c>
      <c r="M8" s="130"/>
      <c r="N8" s="129">
        <v>13</v>
      </c>
      <c r="O8" s="129">
        <v>14</v>
      </c>
      <c r="P8" s="129">
        <v>15</v>
      </c>
      <c r="Q8" s="129">
        <v>16</v>
      </c>
    </row>
    <row r="9" spans="1:17" s="116" customFormat="1" ht="18.75" customHeight="1">
      <c r="A9" s="131"/>
      <c r="B9" s="132" t="s">
        <v>0</v>
      </c>
      <c r="C9" s="133">
        <f>SUM(C10:C18)</f>
        <v>6.4</v>
      </c>
      <c r="D9" s="134">
        <f>SUM(D10:D18)</f>
        <v>8896000</v>
      </c>
      <c r="E9" s="135"/>
      <c r="F9" s="135"/>
      <c r="G9" s="134">
        <f aca="true" t="shared" si="0" ref="G9:L9">SUM(G10:G18)</f>
        <v>0</v>
      </c>
      <c r="H9" s="134">
        <f t="shared" si="0"/>
        <v>9340800.000000002</v>
      </c>
      <c r="I9" s="134">
        <f t="shared" si="0"/>
        <v>9340800.000000002</v>
      </c>
      <c r="J9" s="134">
        <f t="shared" si="0"/>
        <v>0</v>
      </c>
      <c r="K9" s="134">
        <f t="shared" si="0"/>
        <v>5337600</v>
      </c>
      <c r="L9" s="134">
        <f t="shared" si="0"/>
        <v>5337600</v>
      </c>
      <c r="M9" s="134"/>
      <c r="N9" s="134"/>
      <c r="O9" s="134">
        <f>SUM(O10:O18)</f>
        <v>4371900</v>
      </c>
      <c r="P9" s="134">
        <f>SUM(P10:P18)</f>
        <v>-965700</v>
      </c>
      <c r="Q9" s="131"/>
    </row>
    <row r="10" spans="1:17" s="116" customFormat="1" ht="18.75" customHeight="1">
      <c r="A10" s="110" t="s">
        <v>34</v>
      </c>
      <c r="B10" s="127" t="s">
        <v>126</v>
      </c>
      <c r="C10" s="112">
        <v>1</v>
      </c>
      <c r="D10" s="113">
        <f aca="true" t="shared" si="1" ref="D10:D17">(C10*E10)</f>
        <v>1390000</v>
      </c>
      <c r="E10" s="114">
        <v>1390000</v>
      </c>
      <c r="F10" s="115">
        <v>6</v>
      </c>
      <c r="G10" s="113"/>
      <c r="H10" s="113">
        <f aca="true" t="shared" si="2" ref="H10:H17">E10*14%*F10</f>
        <v>1167600.0000000002</v>
      </c>
      <c r="I10" s="113">
        <f aca="true" t="shared" si="3" ref="I10:I15">G10+H10</f>
        <v>1167600.0000000002</v>
      </c>
      <c r="J10" s="113"/>
      <c r="K10" s="113">
        <f aca="true" t="shared" si="4" ref="K10:K17">E10*8%*F10</f>
        <v>667200</v>
      </c>
      <c r="L10" s="113">
        <f aca="true" t="shared" si="5" ref="L10:L15">J10+K10</f>
        <v>667200</v>
      </c>
      <c r="M10" s="121"/>
      <c r="N10" s="113"/>
      <c r="O10" s="113">
        <f>123500*6</f>
        <v>741000</v>
      </c>
      <c r="P10" s="150">
        <f>O10-K10</f>
        <v>73800</v>
      </c>
      <c r="Q10" s="111" t="s">
        <v>224</v>
      </c>
    </row>
    <row r="11" spans="1:17" s="116" customFormat="1" ht="18.75" customHeight="1">
      <c r="A11" s="110" t="s">
        <v>35</v>
      </c>
      <c r="B11" s="111" t="s">
        <v>127</v>
      </c>
      <c r="C11" s="112">
        <v>1</v>
      </c>
      <c r="D11" s="113">
        <f t="shared" si="1"/>
        <v>1390000</v>
      </c>
      <c r="E11" s="114">
        <v>1390000</v>
      </c>
      <c r="F11" s="115">
        <v>6</v>
      </c>
      <c r="G11" s="113"/>
      <c r="H11" s="113">
        <f t="shared" si="2"/>
        <v>1167600.0000000002</v>
      </c>
      <c r="I11" s="113">
        <f t="shared" si="3"/>
        <v>1167600.0000000002</v>
      </c>
      <c r="J11" s="113"/>
      <c r="K11" s="113">
        <f t="shared" si="4"/>
        <v>667200</v>
      </c>
      <c r="L11" s="113">
        <f t="shared" si="5"/>
        <v>667200</v>
      </c>
      <c r="M11" s="121"/>
      <c r="N11" s="113"/>
      <c r="O11" s="113">
        <f>123500*6</f>
        <v>741000</v>
      </c>
      <c r="P11" s="150">
        <f aca="true" t="shared" si="6" ref="P11:P17">O11-K11</f>
        <v>73800</v>
      </c>
      <c r="Q11" s="111" t="s">
        <v>224</v>
      </c>
    </row>
    <row r="12" spans="1:17" s="116" customFormat="1" ht="18.75" customHeight="1">
      <c r="A12" s="110" t="s">
        <v>36</v>
      </c>
      <c r="B12" s="111" t="s">
        <v>128</v>
      </c>
      <c r="C12" s="112">
        <v>1</v>
      </c>
      <c r="D12" s="113">
        <f t="shared" si="1"/>
        <v>1390000</v>
      </c>
      <c r="E12" s="114">
        <v>1390000</v>
      </c>
      <c r="F12" s="115">
        <v>6</v>
      </c>
      <c r="G12" s="113"/>
      <c r="H12" s="113">
        <f t="shared" si="2"/>
        <v>1167600.0000000002</v>
      </c>
      <c r="I12" s="113">
        <f t="shared" si="3"/>
        <v>1167600.0000000002</v>
      </c>
      <c r="J12" s="113"/>
      <c r="K12" s="113">
        <f t="shared" si="4"/>
        <v>667200</v>
      </c>
      <c r="L12" s="113">
        <f t="shared" si="5"/>
        <v>667200</v>
      </c>
      <c r="M12" s="121"/>
      <c r="N12" s="113"/>
      <c r="O12" s="113">
        <f>123500*6</f>
        <v>741000</v>
      </c>
      <c r="P12" s="150">
        <f t="shared" si="6"/>
        <v>73800</v>
      </c>
      <c r="Q12" s="111" t="s">
        <v>224</v>
      </c>
    </row>
    <row r="13" spans="1:17" s="116" customFormat="1" ht="18.75" customHeight="1">
      <c r="A13" s="110" t="s">
        <v>37</v>
      </c>
      <c r="B13" s="111" t="s">
        <v>129</v>
      </c>
      <c r="C13" s="112">
        <v>1</v>
      </c>
      <c r="D13" s="113">
        <f t="shared" si="1"/>
        <v>1390000</v>
      </c>
      <c r="E13" s="114">
        <v>1390000</v>
      </c>
      <c r="F13" s="115">
        <v>6</v>
      </c>
      <c r="G13" s="113"/>
      <c r="H13" s="113">
        <f t="shared" si="2"/>
        <v>1167600.0000000002</v>
      </c>
      <c r="I13" s="113">
        <f t="shared" si="3"/>
        <v>1167600.0000000002</v>
      </c>
      <c r="J13" s="113"/>
      <c r="K13" s="113">
        <f t="shared" si="4"/>
        <v>667200</v>
      </c>
      <c r="L13" s="113">
        <f t="shared" si="5"/>
        <v>667200</v>
      </c>
      <c r="M13" s="121"/>
      <c r="N13" s="113"/>
      <c r="O13" s="113">
        <f>123500*6</f>
        <v>741000</v>
      </c>
      <c r="P13" s="150">
        <f t="shared" si="6"/>
        <v>73800</v>
      </c>
      <c r="Q13" s="111" t="s">
        <v>224</v>
      </c>
    </row>
    <row r="14" spans="1:17" s="116" customFormat="1" ht="18.75" customHeight="1">
      <c r="A14" s="110" t="s">
        <v>38</v>
      </c>
      <c r="B14" s="111" t="s">
        <v>130</v>
      </c>
      <c r="C14" s="112">
        <v>0.5</v>
      </c>
      <c r="D14" s="113">
        <f t="shared" si="1"/>
        <v>695000</v>
      </c>
      <c r="E14" s="114">
        <v>1390000</v>
      </c>
      <c r="F14" s="115">
        <v>6</v>
      </c>
      <c r="G14" s="113"/>
      <c r="H14" s="113">
        <f t="shared" si="2"/>
        <v>1167600.0000000002</v>
      </c>
      <c r="I14" s="113">
        <f t="shared" si="3"/>
        <v>1167600.0000000002</v>
      </c>
      <c r="J14" s="113"/>
      <c r="K14" s="113">
        <f t="shared" si="4"/>
        <v>667200</v>
      </c>
      <c r="L14" s="113">
        <f t="shared" si="5"/>
        <v>667200</v>
      </c>
      <c r="M14" s="121"/>
      <c r="N14" s="113"/>
      <c r="O14" s="113">
        <f>61750*6</f>
        <v>370500</v>
      </c>
      <c r="P14" s="150">
        <f t="shared" si="6"/>
        <v>-296700</v>
      </c>
      <c r="Q14" s="111" t="s">
        <v>223</v>
      </c>
    </row>
    <row r="15" spans="1:17" s="116" customFormat="1" ht="18.75" customHeight="1">
      <c r="A15" s="110" t="s">
        <v>39</v>
      </c>
      <c r="B15" s="111" t="s">
        <v>148</v>
      </c>
      <c r="C15" s="112">
        <v>0.7</v>
      </c>
      <c r="D15" s="113">
        <f t="shared" si="1"/>
        <v>972999.9999999999</v>
      </c>
      <c r="E15" s="114">
        <v>1390000</v>
      </c>
      <c r="F15" s="115">
        <v>6</v>
      </c>
      <c r="G15" s="113"/>
      <c r="H15" s="113">
        <f t="shared" si="2"/>
        <v>1167600.0000000002</v>
      </c>
      <c r="I15" s="113">
        <f t="shared" si="3"/>
        <v>1167600.0000000002</v>
      </c>
      <c r="J15" s="113"/>
      <c r="K15" s="113">
        <f t="shared" si="4"/>
        <v>667200</v>
      </c>
      <c r="L15" s="113">
        <f t="shared" si="5"/>
        <v>667200</v>
      </c>
      <c r="M15" s="121"/>
      <c r="N15" s="113"/>
      <c r="O15" s="113">
        <f>86450*6</f>
        <v>518700</v>
      </c>
      <c r="P15" s="150">
        <f t="shared" si="6"/>
        <v>-148500</v>
      </c>
      <c r="Q15" s="111" t="s">
        <v>223</v>
      </c>
    </row>
    <row r="16" spans="1:17" s="116" customFormat="1" ht="18.75" customHeight="1">
      <c r="A16" s="110" t="s">
        <v>40</v>
      </c>
      <c r="B16" s="111" t="s">
        <v>132</v>
      </c>
      <c r="C16" s="112">
        <v>0.7</v>
      </c>
      <c r="D16" s="113">
        <f t="shared" si="1"/>
        <v>972999.9999999999</v>
      </c>
      <c r="E16" s="114">
        <v>1390000</v>
      </c>
      <c r="F16" s="115">
        <v>6</v>
      </c>
      <c r="G16" s="113"/>
      <c r="H16" s="113">
        <f t="shared" si="2"/>
        <v>1167600.0000000002</v>
      </c>
      <c r="I16" s="113">
        <f>G16+H16</f>
        <v>1167600.0000000002</v>
      </c>
      <c r="J16" s="113"/>
      <c r="K16" s="113">
        <f t="shared" si="4"/>
        <v>667200</v>
      </c>
      <c r="L16" s="113">
        <f>J16+K16</f>
        <v>667200</v>
      </c>
      <c r="M16" s="121"/>
      <c r="N16" s="113"/>
      <c r="O16" s="113">
        <f>86450*6</f>
        <v>518700</v>
      </c>
      <c r="P16" s="150">
        <f t="shared" si="6"/>
        <v>-148500</v>
      </c>
      <c r="Q16" s="111" t="s">
        <v>223</v>
      </c>
    </row>
    <row r="17" spans="1:17" s="116" customFormat="1" ht="18.75" customHeight="1">
      <c r="A17" s="110" t="s">
        <v>41</v>
      </c>
      <c r="B17" s="111" t="s">
        <v>134</v>
      </c>
      <c r="C17" s="112">
        <v>0.5</v>
      </c>
      <c r="D17" s="113">
        <f t="shared" si="1"/>
        <v>695000</v>
      </c>
      <c r="E17" s="114">
        <v>1390000</v>
      </c>
      <c r="F17" s="115">
        <v>6</v>
      </c>
      <c r="G17" s="113"/>
      <c r="H17" s="113">
        <f t="shared" si="2"/>
        <v>1167600.0000000002</v>
      </c>
      <c r="I17" s="113">
        <f>G17+H17</f>
        <v>1167600.0000000002</v>
      </c>
      <c r="J17" s="113"/>
      <c r="K17" s="113">
        <f t="shared" si="4"/>
        <v>667200</v>
      </c>
      <c r="L17" s="113">
        <f>J17+K17</f>
        <v>667200</v>
      </c>
      <c r="M17" s="121"/>
      <c r="N17" s="113"/>
      <c r="O17" s="113"/>
      <c r="P17" s="150">
        <f t="shared" si="6"/>
        <v>-667200</v>
      </c>
      <c r="Q17" s="111" t="s">
        <v>223</v>
      </c>
    </row>
    <row r="18" spans="1:17" s="116" customFormat="1" ht="18.75" customHeight="1">
      <c r="A18" s="110"/>
      <c r="B18" s="111"/>
      <c r="C18" s="112"/>
      <c r="D18" s="113"/>
      <c r="E18" s="114"/>
      <c r="F18" s="114"/>
      <c r="G18" s="113"/>
      <c r="H18" s="113"/>
      <c r="I18" s="113"/>
      <c r="J18" s="113"/>
      <c r="K18" s="113"/>
      <c r="L18" s="113"/>
      <c r="M18" s="113"/>
      <c r="N18" s="113"/>
      <c r="O18" s="113"/>
      <c r="P18" s="111"/>
      <c r="Q18" s="111"/>
    </row>
    <row r="19" spans="1:17" s="116" customFormat="1" ht="18.75" customHeight="1">
      <c r="A19" s="131"/>
      <c r="B19" s="136" t="s">
        <v>25</v>
      </c>
      <c r="C19" s="137">
        <f>SUM(C20:C21)</f>
        <v>2</v>
      </c>
      <c r="D19" s="138">
        <f>SUM(D20:D21)</f>
        <v>2780000</v>
      </c>
      <c r="E19" s="139"/>
      <c r="F19" s="139"/>
      <c r="G19" s="138">
        <f aca="true" t="shared" si="7" ref="G19:L19">SUM(G20:G21)</f>
        <v>0</v>
      </c>
      <c r="H19" s="138">
        <f t="shared" si="7"/>
        <v>2335200.0000000005</v>
      </c>
      <c r="I19" s="138">
        <f t="shared" si="7"/>
        <v>2335200.0000000005</v>
      </c>
      <c r="J19" s="138">
        <f t="shared" si="7"/>
        <v>0</v>
      </c>
      <c r="K19" s="138">
        <f t="shared" si="7"/>
        <v>1334400</v>
      </c>
      <c r="L19" s="138">
        <f t="shared" si="7"/>
        <v>1334400</v>
      </c>
      <c r="M19" s="138"/>
      <c r="N19" s="138"/>
      <c r="O19" s="139">
        <f>O20+O21</f>
        <v>1482000</v>
      </c>
      <c r="P19" s="139">
        <f>P20+P21</f>
        <v>147600</v>
      </c>
      <c r="Q19" s="141"/>
    </row>
    <row r="20" spans="1:17" s="116" customFormat="1" ht="18.75" customHeight="1">
      <c r="A20" s="110">
        <v>9</v>
      </c>
      <c r="B20" s="127" t="s">
        <v>135</v>
      </c>
      <c r="C20" s="112">
        <v>1</v>
      </c>
      <c r="D20" s="113">
        <f>(C20*E20)</f>
        <v>1390000</v>
      </c>
      <c r="E20" s="114">
        <v>1390000</v>
      </c>
      <c r="F20" s="114">
        <v>6</v>
      </c>
      <c r="G20" s="113"/>
      <c r="H20" s="113">
        <f>E20*14%*F20</f>
        <v>1167600.0000000002</v>
      </c>
      <c r="I20" s="113">
        <f>G20+H20</f>
        <v>1167600.0000000002</v>
      </c>
      <c r="J20" s="113"/>
      <c r="K20" s="113">
        <f>E20*8%*F20</f>
        <v>667200</v>
      </c>
      <c r="L20" s="113">
        <f>J20+K20</f>
        <v>667200</v>
      </c>
      <c r="M20" s="121"/>
      <c r="N20" s="113"/>
      <c r="O20" s="113">
        <f>123500*6</f>
        <v>741000</v>
      </c>
      <c r="P20" s="150">
        <f>O20-K20</f>
        <v>73800</v>
      </c>
      <c r="Q20" s="111" t="s">
        <v>224</v>
      </c>
    </row>
    <row r="21" spans="1:17" s="116" customFormat="1" ht="18.75" customHeight="1">
      <c r="A21" s="110">
        <v>10</v>
      </c>
      <c r="B21" s="127" t="s">
        <v>136</v>
      </c>
      <c r="C21" s="112">
        <v>1</v>
      </c>
      <c r="D21" s="113">
        <f>(C21*E21)</f>
        <v>1390000</v>
      </c>
      <c r="E21" s="114">
        <v>1390000</v>
      </c>
      <c r="F21" s="114">
        <v>6</v>
      </c>
      <c r="G21" s="113"/>
      <c r="H21" s="113">
        <f>E21*14%*F21</f>
        <v>1167600.0000000002</v>
      </c>
      <c r="I21" s="113">
        <f>G21+H21</f>
        <v>1167600.0000000002</v>
      </c>
      <c r="J21" s="113"/>
      <c r="K21" s="113">
        <f>E21*8%*F21</f>
        <v>667200</v>
      </c>
      <c r="L21" s="113">
        <f>J21+K21</f>
        <v>667200</v>
      </c>
      <c r="M21" s="121"/>
      <c r="N21" s="113"/>
      <c r="O21" s="113">
        <f>123500*6</f>
        <v>741000</v>
      </c>
      <c r="P21" s="150">
        <f>O21-K21</f>
        <v>73800</v>
      </c>
      <c r="Q21" s="111" t="s">
        <v>224</v>
      </c>
    </row>
    <row r="22" spans="1:17" s="116" customFormat="1" ht="18.75" customHeight="1">
      <c r="A22" s="131"/>
      <c r="B22" s="141" t="s">
        <v>1</v>
      </c>
      <c r="C22" s="142">
        <f>C23</f>
        <v>0</v>
      </c>
      <c r="D22" s="139">
        <f>D23</f>
        <v>0</v>
      </c>
      <c r="E22" s="143"/>
      <c r="F22" s="143"/>
      <c r="G22" s="139">
        <f aca="true" t="shared" si="8" ref="G22:L22">G23</f>
        <v>0</v>
      </c>
      <c r="H22" s="139">
        <f t="shared" si="8"/>
        <v>0</v>
      </c>
      <c r="I22" s="139">
        <f t="shared" si="8"/>
        <v>0</v>
      </c>
      <c r="J22" s="139">
        <f t="shared" si="8"/>
        <v>0</v>
      </c>
      <c r="K22" s="139">
        <f t="shared" si="8"/>
        <v>0</v>
      </c>
      <c r="L22" s="139">
        <f t="shared" si="8"/>
        <v>0</v>
      </c>
      <c r="M22" s="139"/>
      <c r="N22" s="139"/>
      <c r="O22" s="139"/>
      <c r="P22" s="141"/>
      <c r="Q22" s="141"/>
    </row>
    <row r="23" spans="1:17" s="116" customFormat="1" ht="18.75" customHeight="1">
      <c r="A23" s="110"/>
      <c r="B23" s="127"/>
      <c r="C23" s="112"/>
      <c r="D23" s="113"/>
      <c r="E23" s="114"/>
      <c r="F23" s="114"/>
      <c r="G23" s="113">
        <f>(E23)*3%</f>
        <v>0</v>
      </c>
      <c r="H23" s="113">
        <f>(E23)*14%</f>
        <v>0</v>
      </c>
      <c r="I23" s="113">
        <f>G23+H23</f>
        <v>0</v>
      </c>
      <c r="J23" s="113">
        <f>(E23)*1.5%</f>
        <v>0</v>
      </c>
      <c r="K23" s="113">
        <f>(E23)*8%</f>
        <v>0</v>
      </c>
      <c r="L23" s="113">
        <f>J23+K23</f>
        <v>0</v>
      </c>
      <c r="M23" s="121"/>
      <c r="N23" s="113"/>
      <c r="O23" s="113"/>
      <c r="P23" s="141"/>
      <c r="Q23" s="141"/>
    </row>
    <row r="24" spans="1:17" s="116" customFormat="1" ht="18.75" customHeight="1">
      <c r="A24" s="131"/>
      <c r="B24" s="141" t="s">
        <v>3</v>
      </c>
      <c r="C24" s="142">
        <f>C25</f>
        <v>0.7</v>
      </c>
      <c r="D24" s="139">
        <f>D25</f>
        <v>972999.9999999999</v>
      </c>
      <c r="E24" s="143"/>
      <c r="F24" s="143"/>
      <c r="G24" s="139">
        <f aca="true" t="shared" si="9" ref="G24:L24">G25</f>
        <v>0</v>
      </c>
      <c r="H24" s="139">
        <f t="shared" si="9"/>
        <v>1167600.0000000002</v>
      </c>
      <c r="I24" s="139">
        <f t="shared" si="9"/>
        <v>1167600.0000000002</v>
      </c>
      <c r="J24" s="139">
        <f t="shared" si="9"/>
        <v>0</v>
      </c>
      <c r="K24" s="139">
        <f t="shared" si="9"/>
        <v>667200</v>
      </c>
      <c r="L24" s="139">
        <f t="shared" si="9"/>
        <v>667200</v>
      </c>
      <c r="M24" s="139"/>
      <c r="N24" s="139"/>
      <c r="O24" s="139">
        <f>O25</f>
        <v>518700</v>
      </c>
      <c r="P24" s="139">
        <f>P25</f>
        <v>-148500</v>
      </c>
      <c r="Q24" s="141"/>
    </row>
    <row r="25" spans="1:17" s="116" customFormat="1" ht="18.75" customHeight="1">
      <c r="A25" s="131">
        <v>11</v>
      </c>
      <c r="B25" s="111" t="s">
        <v>149</v>
      </c>
      <c r="C25" s="112">
        <v>0.7</v>
      </c>
      <c r="D25" s="113">
        <f>(C25*E25)</f>
        <v>972999.9999999999</v>
      </c>
      <c r="E25" s="114">
        <v>1390000</v>
      </c>
      <c r="F25" s="114">
        <v>6</v>
      </c>
      <c r="G25" s="113"/>
      <c r="H25" s="113">
        <f>E25*14%*F25</f>
        <v>1167600.0000000002</v>
      </c>
      <c r="I25" s="113">
        <f>G25+H25</f>
        <v>1167600.0000000002</v>
      </c>
      <c r="J25" s="113"/>
      <c r="K25" s="113">
        <f>E25*8%*F25</f>
        <v>667200</v>
      </c>
      <c r="L25" s="113">
        <f>J25+K25</f>
        <v>667200</v>
      </c>
      <c r="M25" s="121"/>
      <c r="N25" s="113"/>
      <c r="O25" s="113">
        <f>86450*6</f>
        <v>518700</v>
      </c>
      <c r="P25" s="150">
        <f aca="true" t="shared" si="10" ref="P25:P34">O25-K25</f>
        <v>-148500</v>
      </c>
      <c r="Q25" s="111" t="s">
        <v>223</v>
      </c>
    </row>
    <row r="26" spans="1:16" s="116" customFormat="1" ht="18.75" customHeight="1">
      <c r="A26" s="131"/>
      <c r="B26" s="141" t="s">
        <v>4</v>
      </c>
      <c r="C26" s="142">
        <f>C27</f>
        <v>0.7</v>
      </c>
      <c r="D26" s="139">
        <f>D27</f>
        <v>972999.9999999999</v>
      </c>
      <c r="E26" s="143"/>
      <c r="F26" s="143"/>
      <c r="G26" s="139">
        <f aca="true" t="shared" si="11" ref="G26:L26">G27</f>
        <v>0</v>
      </c>
      <c r="H26" s="139">
        <f t="shared" si="11"/>
        <v>1167600.0000000002</v>
      </c>
      <c r="I26" s="139">
        <f t="shared" si="11"/>
        <v>1167600.0000000002</v>
      </c>
      <c r="J26" s="139">
        <f t="shared" si="11"/>
        <v>0</v>
      </c>
      <c r="K26" s="139">
        <f t="shared" si="11"/>
        <v>667200</v>
      </c>
      <c r="L26" s="139">
        <f t="shared" si="11"/>
        <v>667200</v>
      </c>
      <c r="M26" s="139"/>
      <c r="N26" s="139"/>
      <c r="O26" s="139">
        <f>O27</f>
        <v>518700</v>
      </c>
      <c r="P26" s="139">
        <f>P27</f>
        <v>-148500</v>
      </c>
    </row>
    <row r="27" spans="1:17" s="116" customFormat="1" ht="18.75" customHeight="1">
      <c r="A27" s="131">
        <v>12</v>
      </c>
      <c r="B27" s="111" t="s">
        <v>221</v>
      </c>
      <c r="C27" s="112">
        <v>0.7</v>
      </c>
      <c r="D27" s="113">
        <f>(C27*E27)</f>
        <v>972999.9999999999</v>
      </c>
      <c r="E27" s="114">
        <v>1390000</v>
      </c>
      <c r="F27" s="114">
        <v>6</v>
      </c>
      <c r="G27" s="113"/>
      <c r="H27" s="113">
        <f>E27*14%*F27</f>
        <v>1167600.0000000002</v>
      </c>
      <c r="I27" s="113">
        <f>G27+H27</f>
        <v>1167600.0000000002</v>
      </c>
      <c r="J27" s="113"/>
      <c r="K27" s="113">
        <f>E27*8%*F27</f>
        <v>667200</v>
      </c>
      <c r="L27" s="113">
        <f>J27+K27</f>
        <v>667200</v>
      </c>
      <c r="M27" s="121"/>
      <c r="N27" s="113"/>
      <c r="O27" s="113">
        <f>86450*6</f>
        <v>518700</v>
      </c>
      <c r="P27" s="150">
        <f t="shared" si="10"/>
        <v>-148500</v>
      </c>
      <c r="Q27" s="111" t="s">
        <v>223</v>
      </c>
    </row>
    <row r="28" spans="1:17" s="116" customFormat="1" ht="18.75" customHeight="1">
      <c r="A28" s="131"/>
      <c r="B28" s="141" t="s">
        <v>5</v>
      </c>
      <c r="C28" s="142">
        <f>C29</f>
        <v>0.7</v>
      </c>
      <c r="D28" s="139">
        <f>D29</f>
        <v>972999.9999999999</v>
      </c>
      <c r="E28" s="143"/>
      <c r="F28" s="143"/>
      <c r="G28" s="134">
        <f aca="true" t="shared" si="12" ref="G28:L28">G29</f>
        <v>0</v>
      </c>
      <c r="H28" s="134">
        <f t="shared" si="12"/>
        <v>1167600.0000000002</v>
      </c>
      <c r="I28" s="134">
        <f t="shared" si="12"/>
        <v>1167600.0000000002</v>
      </c>
      <c r="J28" s="134">
        <f t="shared" si="12"/>
        <v>0</v>
      </c>
      <c r="K28" s="134">
        <f t="shared" si="12"/>
        <v>667200</v>
      </c>
      <c r="L28" s="134">
        <f t="shared" si="12"/>
        <v>667200</v>
      </c>
      <c r="M28" s="134"/>
      <c r="N28" s="134"/>
      <c r="O28" s="134">
        <f>O29</f>
        <v>518700</v>
      </c>
      <c r="P28" s="134">
        <f>P29</f>
        <v>-148500</v>
      </c>
      <c r="Q28" s="141"/>
    </row>
    <row r="29" spans="1:17" s="116" customFormat="1" ht="18.75" customHeight="1">
      <c r="A29" s="131">
        <v>13</v>
      </c>
      <c r="B29" s="111" t="s">
        <v>138</v>
      </c>
      <c r="C29" s="112">
        <v>0.7</v>
      </c>
      <c r="D29" s="113">
        <f>(C29*E29)</f>
        <v>972999.9999999999</v>
      </c>
      <c r="E29" s="114">
        <v>1390000</v>
      </c>
      <c r="F29" s="114">
        <v>6</v>
      </c>
      <c r="G29" s="113"/>
      <c r="H29" s="113">
        <f>E29*14%*F29</f>
        <v>1167600.0000000002</v>
      </c>
      <c r="I29" s="113">
        <f>G29+H29</f>
        <v>1167600.0000000002</v>
      </c>
      <c r="J29" s="113"/>
      <c r="K29" s="113">
        <f>E29*8%*F29</f>
        <v>667200</v>
      </c>
      <c r="L29" s="113">
        <f>J29+K29</f>
        <v>667200</v>
      </c>
      <c r="M29" s="121"/>
      <c r="N29" s="113"/>
      <c r="O29" s="113">
        <f>86450*6</f>
        <v>518700</v>
      </c>
      <c r="P29" s="150">
        <f t="shared" si="10"/>
        <v>-148500</v>
      </c>
      <c r="Q29" s="111" t="s">
        <v>223</v>
      </c>
    </row>
    <row r="30" spans="1:17" s="116" customFormat="1" ht="18.75" customHeight="1">
      <c r="A30" s="131"/>
      <c r="B30" s="141" t="s">
        <v>6</v>
      </c>
      <c r="C30" s="144">
        <f>C31</f>
        <v>0.7</v>
      </c>
      <c r="D30" s="139">
        <f>D31</f>
        <v>972999.9999999999</v>
      </c>
      <c r="E30" s="139"/>
      <c r="F30" s="139"/>
      <c r="G30" s="139">
        <f aca="true" t="shared" si="13" ref="G30:L30">G31</f>
        <v>0</v>
      </c>
      <c r="H30" s="139">
        <f t="shared" si="13"/>
        <v>1167600.0000000002</v>
      </c>
      <c r="I30" s="139">
        <f t="shared" si="13"/>
        <v>1167600.0000000002</v>
      </c>
      <c r="J30" s="139">
        <f t="shared" si="13"/>
        <v>0</v>
      </c>
      <c r="K30" s="139">
        <f t="shared" si="13"/>
        <v>667200</v>
      </c>
      <c r="L30" s="139">
        <f t="shared" si="13"/>
        <v>667200</v>
      </c>
      <c r="M30" s="139"/>
      <c r="N30" s="139"/>
      <c r="O30" s="139">
        <f>O31</f>
        <v>518700</v>
      </c>
      <c r="P30" s="139">
        <f>P31</f>
        <v>-148500</v>
      </c>
      <c r="Q30" s="141"/>
    </row>
    <row r="31" spans="1:17" s="116" customFormat="1" ht="18.75" customHeight="1">
      <c r="A31" s="131">
        <v>14</v>
      </c>
      <c r="B31" s="111" t="s">
        <v>139</v>
      </c>
      <c r="C31" s="112">
        <v>0.7</v>
      </c>
      <c r="D31" s="113">
        <f>(C31*E31)</f>
        <v>972999.9999999999</v>
      </c>
      <c r="E31" s="114">
        <v>1390000</v>
      </c>
      <c r="F31" s="114">
        <v>6</v>
      </c>
      <c r="G31" s="113"/>
      <c r="H31" s="113">
        <f>E31*14%*F31</f>
        <v>1167600.0000000002</v>
      </c>
      <c r="I31" s="113">
        <f>G31+H31</f>
        <v>1167600.0000000002</v>
      </c>
      <c r="J31" s="113"/>
      <c r="K31" s="113">
        <f>E31*8%*F31</f>
        <v>667200</v>
      </c>
      <c r="L31" s="113">
        <f>J31+K31</f>
        <v>667200</v>
      </c>
      <c r="M31" s="121"/>
      <c r="N31" s="113"/>
      <c r="O31" s="113">
        <f>86450*6</f>
        <v>518700</v>
      </c>
      <c r="P31" s="150">
        <f t="shared" si="10"/>
        <v>-148500</v>
      </c>
      <c r="Q31" s="111" t="s">
        <v>223</v>
      </c>
    </row>
    <row r="32" spans="1:17" s="116" customFormat="1" ht="18.75" customHeight="1">
      <c r="A32" s="131"/>
      <c r="B32" s="141" t="s">
        <v>2</v>
      </c>
      <c r="C32" s="144">
        <f>SUM(C33:C35)</f>
        <v>2.0999999999999996</v>
      </c>
      <c r="D32" s="145">
        <f>SUM(D33:D35)</f>
        <v>2918999.9999999995</v>
      </c>
      <c r="E32" s="143"/>
      <c r="F32" s="143"/>
      <c r="G32" s="145">
        <f aca="true" t="shared" si="14" ref="G32:L32">SUM(G33:G35)</f>
        <v>0</v>
      </c>
      <c r="H32" s="145">
        <f>SUM(H33:H35)</f>
        <v>3502800.000000001</v>
      </c>
      <c r="I32" s="145">
        <f t="shared" si="14"/>
        <v>3502800.000000001</v>
      </c>
      <c r="J32" s="145">
        <f t="shared" si="14"/>
        <v>0</v>
      </c>
      <c r="K32" s="145">
        <f t="shared" si="14"/>
        <v>2001600</v>
      </c>
      <c r="L32" s="145">
        <f t="shared" si="14"/>
        <v>2001600</v>
      </c>
      <c r="M32" s="139"/>
      <c r="N32" s="145"/>
      <c r="O32" s="139">
        <f>O33+O34+O35</f>
        <v>1556100</v>
      </c>
      <c r="P32" s="139">
        <f>P33+P34+P35</f>
        <v>-445500</v>
      </c>
      <c r="Q32" s="141"/>
    </row>
    <row r="33" spans="1:17" s="116" customFormat="1" ht="18.75" customHeight="1">
      <c r="A33" s="110">
        <v>15</v>
      </c>
      <c r="B33" s="111" t="s">
        <v>140</v>
      </c>
      <c r="C33" s="112">
        <v>0.7</v>
      </c>
      <c r="D33" s="113">
        <f>(C33*E33)</f>
        <v>972999.9999999999</v>
      </c>
      <c r="E33" s="114">
        <v>1390000</v>
      </c>
      <c r="F33" s="114">
        <v>6</v>
      </c>
      <c r="G33" s="113"/>
      <c r="H33" s="113">
        <f>E33*14%*F33</f>
        <v>1167600.0000000002</v>
      </c>
      <c r="I33" s="113">
        <f>G33+H33</f>
        <v>1167600.0000000002</v>
      </c>
      <c r="J33" s="113"/>
      <c r="K33" s="113">
        <f>E33*8%*F33</f>
        <v>667200</v>
      </c>
      <c r="L33" s="113">
        <f>J33+K33</f>
        <v>667200</v>
      </c>
      <c r="M33" s="121"/>
      <c r="N33" s="113"/>
      <c r="O33" s="113">
        <f>86450*6</f>
        <v>518700</v>
      </c>
      <c r="P33" s="150">
        <f t="shared" si="10"/>
        <v>-148500</v>
      </c>
      <c r="Q33" s="111" t="s">
        <v>223</v>
      </c>
    </row>
    <row r="34" spans="1:17" s="116" customFormat="1" ht="18.75" customHeight="1">
      <c r="A34" s="110">
        <v>16</v>
      </c>
      <c r="B34" s="111" t="s">
        <v>237</v>
      </c>
      <c r="C34" s="112">
        <v>0.7</v>
      </c>
      <c r="D34" s="113">
        <f>(C34*E34)</f>
        <v>972999.9999999999</v>
      </c>
      <c r="E34" s="114">
        <v>1390000</v>
      </c>
      <c r="F34" s="114">
        <v>6</v>
      </c>
      <c r="G34" s="113"/>
      <c r="H34" s="113">
        <f>E34*14%*F34</f>
        <v>1167600.0000000002</v>
      </c>
      <c r="I34" s="113">
        <f>G34+H34</f>
        <v>1167600.0000000002</v>
      </c>
      <c r="J34" s="113"/>
      <c r="K34" s="113">
        <f>E34*8%*F34</f>
        <v>667200</v>
      </c>
      <c r="L34" s="113">
        <f>J34+K34</f>
        <v>667200</v>
      </c>
      <c r="M34" s="121"/>
      <c r="N34" s="113"/>
      <c r="O34" s="113">
        <f>86450*6</f>
        <v>518700</v>
      </c>
      <c r="P34" s="150">
        <f t="shared" si="10"/>
        <v>-148500</v>
      </c>
      <c r="Q34" s="111" t="s">
        <v>223</v>
      </c>
    </row>
    <row r="35" spans="1:17" s="116" customFormat="1" ht="18.75" customHeight="1">
      <c r="A35" s="110">
        <v>17</v>
      </c>
      <c r="B35" s="111" t="s">
        <v>131</v>
      </c>
      <c r="C35" s="112">
        <v>0.7</v>
      </c>
      <c r="D35" s="113">
        <f>(C35*E35)</f>
        <v>972999.9999999999</v>
      </c>
      <c r="E35" s="114">
        <v>1390000</v>
      </c>
      <c r="F35" s="114">
        <v>6</v>
      </c>
      <c r="G35" s="113"/>
      <c r="H35" s="113">
        <f>E35*14%*F35</f>
        <v>1167600.0000000002</v>
      </c>
      <c r="I35" s="113">
        <f>G35+H35</f>
        <v>1167600.0000000002</v>
      </c>
      <c r="J35" s="113"/>
      <c r="K35" s="113">
        <f>E35*8%*F35</f>
        <v>667200</v>
      </c>
      <c r="L35" s="113">
        <f>J35+K35</f>
        <v>667200</v>
      </c>
      <c r="M35" s="121"/>
      <c r="N35" s="113"/>
      <c r="O35" s="113">
        <f>86450*6</f>
        <v>518700</v>
      </c>
      <c r="P35" s="150">
        <f>O35-K35</f>
        <v>-148500</v>
      </c>
      <c r="Q35" s="111" t="s">
        <v>223</v>
      </c>
    </row>
    <row r="36" spans="1:17" s="116" customFormat="1" ht="18.75" customHeight="1">
      <c r="A36" s="141"/>
      <c r="B36" s="141" t="s">
        <v>12</v>
      </c>
      <c r="C36" s="151">
        <f>SUM(C37:C38)</f>
        <v>1.4</v>
      </c>
      <c r="D36" s="147">
        <f>SUM(D37:D38)</f>
        <v>1945999.9999999998</v>
      </c>
      <c r="E36" s="139"/>
      <c r="F36" s="139"/>
      <c r="G36" s="139">
        <f aca="true" t="shared" si="15" ref="G36:L36">SUM(G37:G38)</f>
        <v>0</v>
      </c>
      <c r="H36" s="139">
        <f t="shared" si="15"/>
        <v>2335200.0000000005</v>
      </c>
      <c r="I36" s="139">
        <f t="shared" si="15"/>
        <v>2335200.0000000005</v>
      </c>
      <c r="J36" s="139">
        <f t="shared" si="15"/>
        <v>0</v>
      </c>
      <c r="K36" s="139">
        <f t="shared" si="15"/>
        <v>1334400</v>
      </c>
      <c r="L36" s="139">
        <f t="shared" si="15"/>
        <v>1334400</v>
      </c>
      <c r="M36" s="139"/>
      <c r="N36" s="139"/>
      <c r="O36" s="139">
        <f>O37+O38</f>
        <v>1037400</v>
      </c>
      <c r="P36" s="139">
        <f>P37+P38</f>
        <v>-297000</v>
      </c>
      <c r="Q36" s="141"/>
    </row>
    <row r="37" spans="1:17" s="116" customFormat="1" ht="18.75" customHeight="1">
      <c r="A37" s="110">
        <v>18</v>
      </c>
      <c r="B37" s="111" t="s">
        <v>141</v>
      </c>
      <c r="C37" s="112">
        <v>0.7</v>
      </c>
      <c r="D37" s="113">
        <f>(C37*E37)</f>
        <v>972999.9999999999</v>
      </c>
      <c r="E37" s="114">
        <v>1390000</v>
      </c>
      <c r="F37" s="114">
        <v>6</v>
      </c>
      <c r="G37" s="113"/>
      <c r="H37" s="113">
        <f>E37*14%*F37</f>
        <v>1167600.0000000002</v>
      </c>
      <c r="I37" s="113">
        <f>G37+H37</f>
        <v>1167600.0000000002</v>
      </c>
      <c r="J37" s="113"/>
      <c r="K37" s="113">
        <f>E37*8%*F37</f>
        <v>667200</v>
      </c>
      <c r="L37" s="113">
        <f>J37+K37</f>
        <v>667200</v>
      </c>
      <c r="M37" s="121"/>
      <c r="N37" s="113"/>
      <c r="O37" s="113">
        <f>86450*6</f>
        <v>518700</v>
      </c>
      <c r="P37" s="150">
        <f>O37-K37</f>
        <v>-148500</v>
      </c>
      <c r="Q37" s="111" t="s">
        <v>223</v>
      </c>
    </row>
    <row r="38" spans="1:17" s="116" customFormat="1" ht="18.75" customHeight="1">
      <c r="A38" s="110">
        <v>19</v>
      </c>
      <c r="B38" s="111" t="s">
        <v>142</v>
      </c>
      <c r="C38" s="112">
        <v>0.7</v>
      </c>
      <c r="D38" s="113">
        <f>(C38*E38)</f>
        <v>972999.9999999999</v>
      </c>
      <c r="E38" s="114">
        <v>1390000</v>
      </c>
      <c r="F38" s="114">
        <v>6</v>
      </c>
      <c r="G38" s="113"/>
      <c r="H38" s="113">
        <f>E38*14%*F38</f>
        <v>1167600.0000000002</v>
      </c>
      <c r="I38" s="113">
        <f>G38+H38</f>
        <v>1167600.0000000002</v>
      </c>
      <c r="J38" s="113"/>
      <c r="K38" s="113">
        <f>E38*8%*F38</f>
        <v>667200</v>
      </c>
      <c r="L38" s="113">
        <f>J38+K38</f>
        <v>667200</v>
      </c>
      <c r="M38" s="121"/>
      <c r="N38" s="113"/>
      <c r="O38" s="113">
        <f>86450*6</f>
        <v>518700</v>
      </c>
      <c r="P38" s="150">
        <f>O38-K38</f>
        <v>-148500</v>
      </c>
      <c r="Q38" s="111" t="s">
        <v>223</v>
      </c>
    </row>
    <row r="39" spans="1:17" ht="30" customHeight="1">
      <c r="A39" s="16"/>
      <c r="B39" s="23" t="s">
        <v>13</v>
      </c>
      <c r="C39" s="8">
        <f>C9+C19+C22+C24+C26+C28+C30+C32+C36</f>
        <v>14.699999999999998</v>
      </c>
      <c r="D39" s="28">
        <f>D9+D19+D22+D24+D26+D28+D30+D32+D36</f>
        <v>20433000</v>
      </c>
      <c r="E39" s="28"/>
      <c r="F39" s="28"/>
      <c r="G39" s="28">
        <f aca="true" t="shared" si="16" ref="G39:P39">G9+G19+G22+G24+G26+G28+G30+G32+G36</f>
        <v>0</v>
      </c>
      <c r="H39" s="28">
        <f t="shared" si="16"/>
        <v>22184400.000000004</v>
      </c>
      <c r="I39" s="28">
        <f t="shared" si="16"/>
        <v>22184400.000000004</v>
      </c>
      <c r="J39" s="28">
        <f t="shared" si="16"/>
        <v>0</v>
      </c>
      <c r="K39" s="28">
        <f t="shared" si="16"/>
        <v>12676800</v>
      </c>
      <c r="L39" s="28">
        <f t="shared" si="16"/>
        <v>12676800</v>
      </c>
      <c r="M39" s="28">
        <f t="shared" si="16"/>
        <v>0</v>
      </c>
      <c r="N39" s="28">
        <f t="shared" si="16"/>
        <v>0</v>
      </c>
      <c r="O39" s="28">
        <f t="shared" si="16"/>
        <v>10522200</v>
      </c>
      <c r="P39" s="28">
        <f t="shared" si="16"/>
        <v>-2154600</v>
      </c>
      <c r="Q39" s="18"/>
    </row>
    <row r="40" spans="3:13" ht="15.75">
      <c r="C40" s="47"/>
      <c r="D40" s="36"/>
      <c r="G40" s="156"/>
      <c r="H40" s="156"/>
      <c r="I40" s="52"/>
      <c r="J40" s="156"/>
      <c r="K40" s="156"/>
      <c r="L40" s="58"/>
      <c r="M40" s="117"/>
    </row>
    <row r="41" spans="1:13" ht="15.75">
      <c r="A41" s="158"/>
      <c r="B41" s="158"/>
      <c r="C41" s="8"/>
      <c r="D41" s="36"/>
      <c r="E41" s="5"/>
      <c r="F41" s="5"/>
      <c r="G41" s="158"/>
      <c r="H41" s="158"/>
      <c r="I41" s="53"/>
      <c r="J41" s="158"/>
      <c r="K41" s="158"/>
      <c r="L41" s="65"/>
      <c r="M41" s="118"/>
    </row>
    <row r="42" spans="4:15" ht="17.25">
      <c r="D42" s="49"/>
      <c r="O42" s="76"/>
    </row>
    <row r="50" ht="15.75">
      <c r="D50" s="50"/>
    </row>
  </sheetData>
  <sheetProtection/>
  <mergeCells count="21">
    <mergeCell ref="G5:I6"/>
    <mergeCell ref="A41:B41"/>
    <mergeCell ref="G41:H41"/>
    <mergeCell ref="J41:K41"/>
    <mergeCell ref="G40:H40"/>
    <mergeCell ref="D6:D7"/>
    <mergeCell ref="A5:A7"/>
    <mergeCell ref="J40:K40"/>
    <mergeCell ref="C5:D5"/>
    <mergeCell ref="E5:E7"/>
    <mergeCell ref="J5:L6"/>
    <mergeCell ref="A2:Q2"/>
    <mergeCell ref="C6:C7"/>
    <mergeCell ref="B5:B7"/>
    <mergeCell ref="A1:Q1"/>
    <mergeCell ref="N5:N7"/>
    <mergeCell ref="O5:O7"/>
    <mergeCell ref="P5:P7"/>
    <mergeCell ref="F5:F7"/>
    <mergeCell ref="Q5:Q7"/>
    <mergeCell ref="M5:M7"/>
  </mergeCells>
  <printOptions horizontalCentered="1"/>
  <pageMargins left="0.25" right="0.25" top="0.5" bottom="0.5" header="0.39" footer="0.5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4">
      <selection activeCell="G9" sqref="G9"/>
    </sheetView>
  </sheetViews>
  <sheetFormatPr defaultColWidth="9.00390625" defaultRowHeight="15.75"/>
  <cols>
    <col min="1" max="1" width="3.50390625" style="6" customWidth="1"/>
    <col min="2" max="2" width="15.875" style="6" customWidth="1"/>
    <col min="3" max="3" width="8.00390625" style="6" customWidth="1"/>
    <col min="4" max="4" width="10.875" style="6" customWidth="1"/>
    <col min="5" max="5" width="9.625" style="6" customWidth="1"/>
    <col min="6" max="6" width="7.875" style="6" customWidth="1"/>
    <col min="7" max="7" width="11.75390625" style="6" customWidth="1"/>
    <col min="8" max="8" width="15.25390625" style="6" customWidth="1"/>
    <col min="9" max="9" width="13.00390625" style="6" bestFit="1" customWidth="1"/>
    <col min="10" max="16384" width="9.00390625" style="6" customWidth="1"/>
  </cols>
  <sheetData>
    <row r="1" spans="1:10" ht="45.75" customHeight="1">
      <c r="A1" s="180" t="s">
        <v>107</v>
      </c>
      <c r="B1" s="180"/>
      <c r="C1" s="180"/>
      <c r="D1" s="180"/>
      <c r="E1" s="180"/>
      <c r="F1" s="180"/>
      <c r="G1" s="180"/>
      <c r="H1" s="180"/>
      <c r="I1" s="37"/>
      <c r="J1" s="37"/>
    </row>
    <row r="2" spans="1:8" ht="16.5" customHeight="1">
      <c r="A2" s="158" t="s">
        <v>189</v>
      </c>
      <c r="B2" s="158"/>
      <c r="C2" s="158"/>
      <c r="D2" s="158"/>
      <c r="E2" s="158"/>
      <c r="F2" s="158"/>
      <c r="G2" s="158"/>
      <c r="H2" s="158"/>
    </row>
    <row r="3" ht="15.75">
      <c r="D3" s="38"/>
    </row>
    <row r="4" spans="1:8" ht="15.75" customHeight="1">
      <c r="A4" s="171" t="s">
        <v>14</v>
      </c>
      <c r="B4" s="171" t="s">
        <v>24</v>
      </c>
      <c r="C4" s="174" t="s">
        <v>7</v>
      </c>
      <c r="D4" s="175"/>
      <c r="E4" s="159" t="s">
        <v>31</v>
      </c>
      <c r="F4" s="159" t="s">
        <v>72</v>
      </c>
      <c r="G4" s="181" t="s">
        <v>74</v>
      </c>
      <c r="H4" s="159" t="s">
        <v>16</v>
      </c>
    </row>
    <row r="5" spans="1:8" ht="30" customHeight="1">
      <c r="A5" s="172"/>
      <c r="B5" s="172"/>
      <c r="C5" s="159" t="s">
        <v>9</v>
      </c>
      <c r="D5" s="159" t="s">
        <v>8</v>
      </c>
      <c r="E5" s="160"/>
      <c r="F5" s="160"/>
      <c r="G5" s="182"/>
      <c r="H5" s="160"/>
    </row>
    <row r="6" spans="1:8" ht="79.5" customHeight="1">
      <c r="A6" s="173"/>
      <c r="B6" s="173"/>
      <c r="C6" s="161"/>
      <c r="D6" s="161"/>
      <c r="E6" s="161"/>
      <c r="F6" s="160"/>
      <c r="G6" s="183"/>
      <c r="H6" s="161"/>
    </row>
    <row r="7" spans="1:8" ht="18.75" customHeight="1">
      <c r="A7" s="55" t="s">
        <v>34</v>
      </c>
      <c r="B7" s="55" t="s">
        <v>35</v>
      </c>
      <c r="C7" s="55" t="s">
        <v>36</v>
      </c>
      <c r="D7" s="55" t="s">
        <v>37</v>
      </c>
      <c r="E7" s="55" t="s">
        <v>38</v>
      </c>
      <c r="F7" s="55" t="s">
        <v>39</v>
      </c>
      <c r="G7" s="55" t="s">
        <v>40</v>
      </c>
      <c r="H7" s="55" t="s">
        <v>41</v>
      </c>
    </row>
    <row r="8" spans="1:8" ht="18.75" customHeight="1">
      <c r="A8" s="16"/>
      <c r="B8" s="17" t="s">
        <v>0</v>
      </c>
      <c r="C8" s="41">
        <f>SUM(C9:C22)</f>
        <v>13</v>
      </c>
      <c r="D8" s="42">
        <f>SUM(D9:D22)</f>
        <v>16900000</v>
      </c>
      <c r="E8" s="9"/>
      <c r="F8" s="9"/>
      <c r="G8" s="42">
        <f>SUM(G9:G22)</f>
        <v>4212000</v>
      </c>
      <c r="H8" s="16"/>
    </row>
    <row r="9" spans="1:8" ht="103.5" customHeight="1">
      <c r="A9" s="21" t="s">
        <v>34</v>
      </c>
      <c r="B9" s="18" t="s">
        <v>141</v>
      </c>
      <c r="C9" s="122">
        <v>1</v>
      </c>
      <c r="D9" s="44">
        <v>1300000</v>
      </c>
      <c r="E9" s="45">
        <v>1300000</v>
      </c>
      <c r="F9" s="74"/>
      <c r="G9" s="44"/>
      <c r="H9" s="120" t="s">
        <v>227</v>
      </c>
    </row>
    <row r="10" spans="1:8" ht="18.75" customHeight="1">
      <c r="A10" s="21" t="s">
        <v>35</v>
      </c>
      <c r="B10" s="18" t="s">
        <v>150</v>
      </c>
      <c r="C10" s="75">
        <v>1</v>
      </c>
      <c r="D10" s="44">
        <v>1300000</v>
      </c>
      <c r="E10" s="45">
        <v>1300000</v>
      </c>
      <c r="F10" s="74">
        <v>6</v>
      </c>
      <c r="G10" s="44">
        <f aca="true" t="shared" si="0" ref="G10:G21">E10*4.5%*F10</f>
        <v>351000</v>
      </c>
      <c r="H10" s="18"/>
    </row>
    <row r="11" spans="1:8" ht="18.75" customHeight="1">
      <c r="A11" s="21" t="s">
        <v>36</v>
      </c>
      <c r="B11" s="18" t="s">
        <v>151</v>
      </c>
      <c r="C11" s="75">
        <v>1</v>
      </c>
      <c r="D11" s="44">
        <v>1300000</v>
      </c>
      <c r="E11" s="45">
        <v>1300000</v>
      </c>
      <c r="F11" s="74">
        <v>6</v>
      </c>
      <c r="G11" s="44">
        <f t="shared" si="0"/>
        <v>351000</v>
      </c>
      <c r="H11" s="18"/>
    </row>
    <row r="12" spans="1:8" ht="18.75" customHeight="1">
      <c r="A12" s="21" t="s">
        <v>37</v>
      </c>
      <c r="B12" s="18" t="s">
        <v>152</v>
      </c>
      <c r="C12" s="75">
        <v>1</v>
      </c>
      <c r="D12" s="44">
        <v>1300000</v>
      </c>
      <c r="E12" s="45">
        <v>1300000</v>
      </c>
      <c r="F12" s="74">
        <v>6</v>
      </c>
      <c r="G12" s="44">
        <f t="shared" si="0"/>
        <v>351000</v>
      </c>
      <c r="H12" s="18"/>
    </row>
    <row r="13" spans="1:8" ht="18.75" customHeight="1">
      <c r="A13" s="21" t="s">
        <v>38</v>
      </c>
      <c r="B13" s="18" t="s">
        <v>153</v>
      </c>
      <c r="C13" s="75">
        <v>1</v>
      </c>
      <c r="D13" s="44">
        <v>1300000</v>
      </c>
      <c r="E13" s="45">
        <v>1300000</v>
      </c>
      <c r="F13" s="74">
        <v>6</v>
      </c>
      <c r="G13" s="44">
        <f t="shared" si="0"/>
        <v>351000</v>
      </c>
      <c r="H13" s="18"/>
    </row>
    <row r="14" spans="1:8" ht="18.75" customHeight="1">
      <c r="A14" s="21" t="s">
        <v>39</v>
      </c>
      <c r="B14" s="18" t="s">
        <v>154</v>
      </c>
      <c r="C14" s="75">
        <v>1</v>
      </c>
      <c r="D14" s="44">
        <v>1300000</v>
      </c>
      <c r="E14" s="45">
        <v>1300000</v>
      </c>
      <c r="F14" s="74">
        <v>6</v>
      </c>
      <c r="G14" s="44">
        <f t="shared" si="0"/>
        <v>351000</v>
      </c>
      <c r="H14" s="18"/>
    </row>
    <row r="15" spans="1:8" ht="18.75" customHeight="1">
      <c r="A15" s="21" t="s">
        <v>40</v>
      </c>
      <c r="B15" s="18" t="s">
        <v>155</v>
      </c>
      <c r="C15" s="75">
        <v>1</v>
      </c>
      <c r="D15" s="44">
        <v>1300000</v>
      </c>
      <c r="E15" s="45">
        <v>1300000</v>
      </c>
      <c r="F15" s="74">
        <v>6</v>
      </c>
      <c r="G15" s="44">
        <f t="shared" si="0"/>
        <v>351000</v>
      </c>
      <c r="H15" s="18"/>
    </row>
    <row r="16" spans="1:8" ht="18.75" customHeight="1">
      <c r="A16" s="21" t="s">
        <v>41</v>
      </c>
      <c r="B16" s="18" t="s">
        <v>156</v>
      </c>
      <c r="C16" s="75">
        <v>1</v>
      </c>
      <c r="D16" s="44">
        <v>1300000</v>
      </c>
      <c r="E16" s="45">
        <v>1300000</v>
      </c>
      <c r="F16" s="74">
        <v>6</v>
      </c>
      <c r="G16" s="44">
        <f t="shared" si="0"/>
        <v>351000</v>
      </c>
      <c r="H16" s="18"/>
    </row>
    <row r="17" spans="1:8" ht="18.75" customHeight="1">
      <c r="A17" s="21" t="s">
        <v>42</v>
      </c>
      <c r="B17" s="18" t="s">
        <v>157</v>
      </c>
      <c r="C17" s="75">
        <v>1</v>
      </c>
      <c r="D17" s="44">
        <v>1300000</v>
      </c>
      <c r="E17" s="45">
        <v>1300000</v>
      </c>
      <c r="F17" s="74">
        <v>6</v>
      </c>
      <c r="G17" s="44">
        <f t="shared" si="0"/>
        <v>351000</v>
      </c>
      <c r="H17" s="18"/>
    </row>
    <row r="18" spans="1:8" ht="18" customHeight="1">
      <c r="A18" s="21" t="s">
        <v>43</v>
      </c>
      <c r="B18" s="18" t="s">
        <v>228</v>
      </c>
      <c r="C18" s="75">
        <v>1</v>
      </c>
      <c r="D18" s="44">
        <v>1300000</v>
      </c>
      <c r="E18" s="45">
        <v>1300000</v>
      </c>
      <c r="F18" s="74">
        <v>6</v>
      </c>
      <c r="G18" s="44">
        <f t="shared" si="0"/>
        <v>351000</v>
      </c>
      <c r="H18" s="18"/>
    </row>
    <row r="19" spans="1:8" ht="18.75" customHeight="1">
      <c r="A19" s="21" t="s">
        <v>44</v>
      </c>
      <c r="B19" s="18" t="s">
        <v>229</v>
      </c>
      <c r="C19" s="75">
        <v>1</v>
      </c>
      <c r="D19" s="44">
        <v>1300000</v>
      </c>
      <c r="E19" s="45">
        <v>1300000</v>
      </c>
      <c r="F19" s="74">
        <v>6</v>
      </c>
      <c r="G19" s="44">
        <f t="shared" si="0"/>
        <v>351000</v>
      </c>
      <c r="H19" s="18"/>
    </row>
    <row r="20" spans="1:8" ht="18.75" customHeight="1">
      <c r="A20" s="21" t="s">
        <v>45</v>
      </c>
      <c r="B20" s="18" t="s">
        <v>230</v>
      </c>
      <c r="C20" s="75">
        <v>1</v>
      </c>
      <c r="D20" s="44">
        <v>1300000</v>
      </c>
      <c r="E20" s="45">
        <v>1300000</v>
      </c>
      <c r="F20" s="74">
        <v>6</v>
      </c>
      <c r="G20" s="44">
        <f t="shared" si="0"/>
        <v>351000</v>
      </c>
      <c r="H20" s="18"/>
    </row>
    <row r="21" spans="1:8" ht="18.75" customHeight="1">
      <c r="A21" s="21" t="s">
        <v>46</v>
      </c>
      <c r="B21" s="18" t="s">
        <v>231</v>
      </c>
      <c r="C21" s="75">
        <v>1</v>
      </c>
      <c r="D21" s="44">
        <v>1300000</v>
      </c>
      <c r="E21" s="45">
        <v>1300000</v>
      </c>
      <c r="F21" s="74">
        <v>6</v>
      </c>
      <c r="G21" s="44">
        <f t="shared" si="0"/>
        <v>351000</v>
      </c>
      <c r="H21" s="18"/>
    </row>
    <row r="22" spans="1:8" ht="18.75" customHeight="1">
      <c r="A22" s="21"/>
      <c r="B22" s="18"/>
      <c r="C22" s="22"/>
      <c r="D22" s="44"/>
      <c r="E22" s="45"/>
      <c r="F22" s="45"/>
      <c r="G22" s="44"/>
      <c r="H22" s="18"/>
    </row>
    <row r="23" spans="1:9" ht="20.25" customHeight="1">
      <c r="A23" s="16"/>
      <c r="B23" s="23" t="s">
        <v>13</v>
      </c>
      <c r="C23" s="8">
        <f>C8</f>
        <v>13</v>
      </c>
      <c r="D23" s="28">
        <f>D8</f>
        <v>16900000</v>
      </c>
      <c r="E23" s="8">
        <f>E8</f>
        <v>0</v>
      </c>
      <c r="F23" s="8">
        <f>F8</f>
        <v>0</v>
      </c>
      <c r="G23" s="28">
        <f>G8</f>
        <v>4212000</v>
      </c>
      <c r="H23" s="18"/>
      <c r="I23" s="76">
        <f>G23+'[1]DBHD TU TH 7 DEN T(2)'!G25</f>
        <v>9477000</v>
      </c>
    </row>
    <row r="24" spans="3:7" ht="15.75">
      <c r="C24" s="47"/>
      <c r="D24" s="36"/>
      <c r="G24" s="73"/>
    </row>
  </sheetData>
  <sheetProtection/>
  <mergeCells count="11">
    <mergeCell ref="D5:D6"/>
    <mergeCell ref="A1:H1"/>
    <mergeCell ref="A2:H2"/>
    <mergeCell ref="A4:A6"/>
    <mergeCell ref="B4:B6"/>
    <mergeCell ref="C4:D4"/>
    <mergeCell ref="E4:E6"/>
    <mergeCell ref="F4:F6"/>
    <mergeCell ref="G4:G6"/>
    <mergeCell ref="H4:H6"/>
    <mergeCell ref="C5:C6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SheetLayoutView="100" zoomScalePageLayoutView="0" workbookViewId="0" topLeftCell="A3">
      <selection activeCell="G23" sqref="G23"/>
    </sheetView>
  </sheetViews>
  <sheetFormatPr defaultColWidth="9.00390625" defaultRowHeight="15.75"/>
  <cols>
    <col min="1" max="1" width="3.50390625" style="6" customWidth="1"/>
    <col min="2" max="2" width="15.875" style="6" customWidth="1"/>
    <col min="3" max="3" width="8.00390625" style="6" customWidth="1"/>
    <col min="4" max="4" width="10.875" style="6" customWidth="1"/>
    <col min="5" max="5" width="9.625" style="6" customWidth="1"/>
    <col min="6" max="6" width="7.875" style="6" customWidth="1"/>
    <col min="7" max="7" width="11.75390625" style="6" customWidth="1"/>
    <col min="8" max="8" width="15.25390625" style="6" customWidth="1"/>
    <col min="9" max="9" width="13.00390625" style="6" bestFit="1" customWidth="1"/>
    <col min="10" max="16384" width="9.00390625" style="6" customWidth="1"/>
  </cols>
  <sheetData>
    <row r="1" spans="1:10" ht="45.75" customHeight="1">
      <c r="A1" s="180" t="s">
        <v>107</v>
      </c>
      <c r="B1" s="180"/>
      <c r="C1" s="180"/>
      <c r="D1" s="180"/>
      <c r="E1" s="180"/>
      <c r="F1" s="180"/>
      <c r="G1" s="180"/>
      <c r="H1" s="180"/>
      <c r="I1" s="37"/>
      <c r="J1" s="37"/>
    </row>
    <row r="2" spans="1:8" ht="16.5" customHeight="1">
      <c r="A2" s="158" t="s">
        <v>190</v>
      </c>
      <c r="B2" s="158"/>
      <c r="C2" s="158"/>
      <c r="D2" s="158"/>
      <c r="E2" s="158"/>
      <c r="F2" s="158"/>
      <c r="G2" s="158"/>
      <c r="H2" s="158"/>
    </row>
    <row r="3" ht="15.75">
      <c r="D3" s="38"/>
    </row>
    <row r="4" spans="1:8" ht="15.75" customHeight="1">
      <c r="A4" s="171" t="s">
        <v>14</v>
      </c>
      <c r="B4" s="171" t="s">
        <v>24</v>
      </c>
      <c r="C4" s="174" t="s">
        <v>7</v>
      </c>
      <c r="D4" s="175"/>
      <c r="E4" s="159" t="s">
        <v>31</v>
      </c>
      <c r="F4" s="159" t="s">
        <v>72</v>
      </c>
      <c r="G4" s="181" t="s">
        <v>74</v>
      </c>
      <c r="H4" s="159" t="s">
        <v>16</v>
      </c>
    </row>
    <row r="5" spans="1:8" ht="30" customHeight="1">
      <c r="A5" s="172"/>
      <c r="B5" s="172"/>
      <c r="C5" s="159" t="s">
        <v>9</v>
      </c>
      <c r="D5" s="159" t="s">
        <v>8</v>
      </c>
      <c r="E5" s="160"/>
      <c r="F5" s="160"/>
      <c r="G5" s="182"/>
      <c r="H5" s="160"/>
    </row>
    <row r="6" spans="1:8" ht="79.5" customHeight="1">
      <c r="A6" s="173"/>
      <c r="B6" s="173"/>
      <c r="C6" s="161"/>
      <c r="D6" s="161"/>
      <c r="E6" s="161"/>
      <c r="F6" s="160"/>
      <c r="G6" s="183"/>
      <c r="H6" s="161"/>
    </row>
    <row r="7" spans="1:8" ht="18.75" customHeight="1">
      <c r="A7" s="55" t="s">
        <v>34</v>
      </c>
      <c r="B7" s="55" t="s">
        <v>35</v>
      </c>
      <c r="C7" s="55" t="s">
        <v>36</v>
      </c>
      <c r="D7" s="55" t="s">
        <v>37</v>
      </c>
      <c r="E7" s="55" t="s">
        <v>38</v>
      </c>
      <c r="F7" s="55" t="s">
        <v>39</v>
      </c>
      <c r="G7" s="55" t="s">
        <v>40</v>
      </c>
      <c r="H7" s="55" t="s">
        <v>41</v>
      </c>
    </row>
    <row r="8" spans="1:8" ht="18.75" customHeight="1">
      <c r="A8" s="16"/>
      <c r="B8" s="17" t="s">
        <v>0</v>
      </c>
      <c r="C8" s="123">
        <f>SUM(C9:C22)</f>
        <v>13</v>
      </c>
      <c r="D8" s="42">
        <f>SUM(D9:D22)</f>
        <v>18070000</v>
      </c>
      <c r="E8" s="9"/>
      <c r="F8" s="9"/>
      <c r="G8" s="42">
        <f>SUM(G9:G22)</f>
        <v>4503600</v>
      </c>
      <c r="H8" s="16"/>
    </row>
    <row r="9" spans="1:8" s="105" customFormat="1" ht="103.5" customHeight="1">
      <c r="A9" s="110" t="s">
        <v>34</v>
      </c>
      <c r="B9" s="18" t="s">
        <v>141</v>
      </c>
      <c r="C9" s="124">
        <v>1</v>
      </c>
      <c r="D9" s="113">
        <v>1390000</v>
      </c>
      <c r="E9" s="114">
        <v>1390000</v>
      </c>
      <c r="F9" s="121"/>
      <c r="G9" s="113">
        <f aca="true" t="shared" si="0" ref="G9:G21">E9*4.5%*F9</f>
        <v>0</v>
      </c>
      <c r="H9" s="120" t="s">
        <v>227</v>
      </c>
    </row>
    <row r="10" spans="1:8" ht="18.75" customHeight="1">
      <c r="A10" s="110" t="s">
        <v>35</v>
      </c>
      <c r="B10" s="18" t="s">
        <v>150</v>
      </c>
      <c r="C10" s="124">
        <v>1</v>
      </c>
      <c r="D10" s="44">
        <v>1390000</v>
      </c>
      <c r="E10" s="45">
        <v>1390000</v>
      </c>
      <c r="F10" s="74">
        <v>6</v>
      </c>
      <c r="G10" s="44">
        <f t="shared" si="0"/>
        <v>375300</v>
      </c>
      <c r="H10" s="18"/>
    </row>
    <row r="11" spans="1:8" ht="18.75" customHeight="1">
      <c r="A11" s="110" t="s">
        <v>36</v>
      </c>
      <c r="B11" s="18" t="s">
        <v>151</v>
      </c>
      <c r="C11" s="124">
        <v>1</v>
      </c>
      <c r="D11" s="44">
        <v>1390000</v>
      </c>
      <c r="E11" s="45">
        <v>1390000</v>
      </c>
      <c r="F11" s="74">
        <v>6</v>
      </c>
      <c r="G11" s="44">
        <f t="shared" si="0"/>
        <v>375300</v>
      </c>
      <c r="H11" s="18"/>
    </row>
    <row r="12" spans="1:8" ht="18.75" customHeight="1">
      <c r="A12" s="110" t="s">
        <v>37</v>
      </c>
      <c r="B12" s="18" t="s">
        <v>152</v>
      </c>
      <c r="C12" s="124">
        <v>1</v>
      </c>
      <c r="D12" s="44">
        <v>1390000</v>
      </c>
      <c r="E12" s="45">
        <v>1390000</v>
      </c>
      <c r="F12" s="74">
        <v>6</v>
      </c>
      <c r="G12" s="44">
        <f t="shared" si="0"/>
        <v>375300</v>
      </c>
      <c r="H12" s="18"/>
    </row>
    <row r="13" spans="1:8" ht="18.75" customHeight="1">
      <c r="A13" s="110" t="s">
        <v>38</v>
      </c>
      <c r="B13" s="18" t="s">
        <v>153</v>
      </c>
      <c r="C13" s="124">
        <v>1</v>
      </c>
      <c r="D13" s="44">
        <v>1390000</v>
      </c>
      <c r="E13" s="45">
        <v>1390000</v>
      </c>
      <c r="F13" s="74">
        <v>6</v>
      </c>
      <c r="G13" s="44">
        <f t="shared" si="0"/>
        <v>375300</v>
      </c>
      <c r="H13" s="18"/>
    </row>
    <row r="14" spans="1:8" ht="18.75" customHeight="1">
      <c r="A14" s="110" t="s">
        <v>39</v>
      </c>
      <c r="B14" s="18" t="s">
        <v>154</v>
      </c>
      <c r="C14" s="124">
        <v>1</v>
      </c>
      <c r="D14" s="44">
        <v>1390000</v>
      </c>
      <c r="E14" s="45">
        <v>1390000</v>
      </c>
      <c r="F14" s="74">
        <v>6</v>
      </c>
      <c r="G14" s="44">
        <f t="shared" si="0"/>
        <v>375300</v>
      </c>
      <c r="H14" s="18"/>
    </row>
    <row r="15" spans="1:8" ht="18.75" customHeight="1">
      <c r="A15" s="110" t="s">
        <v>40</v>
      </c>
      <c r="B15" s="18" t="s">
        <v>155</v>
      </c>
      <c r="C15" s="124">
        <v>1</v>
      </c>
      <c r="D15" s="44">
        <v>1390000</v>
      </c>
      <c r="E15" s="45">
        <v>1390000</v>
      </c>
      <c r="F15" s="74">
        <v>6</v>
      </c>
      <c r="G15" s="44">
        <f t="shared" si="0"/>
        <v>375300</v>
      </c>
      <c r="H15" s="18"/>
    </row>
    <row r="16" spans="1:8" ht="18.75" customHeight="1">
      <c r="A16" s="110" t="s">
        <v>41</v>
      </c>
      <c r="B16" s="18" t="s">
        <v>156</v>
      </c>
      <c r="C16" s="124">
        <v>1</v>
      </c>
      <c r="D16" s="44">
        <v>1390000</v>
      </c>
      <c r="E16" s="45">
        <v>1390000</v>
      </c>
      <c r="F16" s="74">
        <v>6</v>
      </c>
      <c r="G16" s="44">
        <f t="shared" si="0"/>
        <v>375300</v>
      </c>
      <c r="H16" s="18"/>
    </row>
    <row r="17" spans="1:8" ht="18.75" customHeight="1">
      <c r="A17" s="110" t="s">
        <v>42</v>
      </c>
      <c r="B17" s="18" t="s">
        <v>157</v>
      </c>
      <c r="C17" s="124">
        <v>1</v>
      </c>
      <c r="D17" s="44">
        <v>1390000</v>
      </c>
      <c r="E17" s="45">
        <v>1390000</v>
      </c>
      <c r="F17" s="74">
        <v>6</v>
      </c>
      <c r="G17" s="44">
        <f t="shared" si="0"/>
        <v>375300</v>
      </c>
      <c r="H17" s="18"/>
    </row>
    <row r="18" spans="1:8" ht="18" customHeight="1">
      <c r="A18" s="110" t="s">
        <v>43</v>
      </c>
      <c r="B18" s="18" t="s">
        <v>228</v>
      </c>
      <c r="C18" s="124">
        <v>1</v>
      </c>
      <c r="D18" s="44">
        <v>1390000</v>
      </c>
      <c r="E18" s="45">
        <v>1390000</v>
      </c>
      <c r="F18" s="74">
        <v>6</v>
      </c>
      <c r="G18" s="44">
        <f t="shared" si="0"/>
        <v>375300</v>
      </c>
      <c r="H18" s="18"/>
    </row>
    <row r="19" spans="1:8" ht="18.75" customHeight="1">
      <c r="A19" s="110" t="s">
        <v>44</v>
      </c>
      <c r="B19" s="18" t="s">
        <v>229</v>
      </c>
      <c r="C19" s="124">
        <v>1</v>
      </c>
      <c r="D19" s="44">
        <v>1390000</v>
      </c>
      <c r="E19" s="45">
        <v>1390000</v>
      </c>
      <c r="F19" s="74">
        <v>6</v>
      </c>
      <c r="G19" s="44">
        <f t="shared" si="0"/>
        <v>375300</v>
      </c>
      <c r="H19" s="18"/>
    </row>
    <row r="20" spans="1:8" ht="18.75" customHeight="1">
      <c r="A20" s="110" t="s">
        <v>45</v>
      </c>
      <c r="B20" s="18" t="s">
        <v>230</v>
      </c>
      <c r="C20" s="124">
        <v>1</v>
      </c>
      <c r="D20" s="44">
        <v>1390000</v>
      </c>
      <c r="E20" s="45">
        <v>1390000</v>
      </c>
      <c r="F20" s="74">
        <v>6</v>
      </c>
      <c r="G20" s="44">
        <f t="shared" si="0"/>
        <v>375300</v>
      </c>
      <c r="H20" s="18"/>
    </row>
    <row r="21" spans="1:8" ht="18.75" customHeight="1">
      <c r="A21" s="110" t="s">
        <v>46</v>
      </c>
      <c r="B21" s="18" t="s">
        <v>231</v>
      </c>
      <c r="C21" s="124">
        <v>1</v>
      </c>
      <c r="D21" s="44">
        <v>1390000</v>
      </c>
      <c r="E21" s="45">
        <v>1390000</v>
      </c>
      <c r="F21" s="74">
        <v>6</v>
      </c>
      <c r="G21" s="44">
        <f t="shared" si="0"/>
        <v>375300</v>
      </c>
      <c r="H21" s="18"/>
    </row>
    <row r="22" spans="1:8" ht="18.75" customHeight="1">
      <c r="A22" s="21"/>
      <c r="B22" s="18"/>
      <c r="C22" s="125"/>
      <c r="D22" s="44"/>
      <c r="E22" s="45"/>
      <c r="F22" s="45"/>
      <c r="G22" s="44"/>
      <c r="H22" s="18"/>
    </row>
    <row r="23" spans="1:9" ht="20.25" customHeight="1">
      <c r="A23" s="16"/>
      <c r="B23" s="23" t="s">
        <v>13</v>
      </c>
      <c r="C23" s="126">
        <f>C8</f>
        <v>13</v>
      </c>
      <c r="D23" s="28">
        <f>D8</f>
        <v>18070000</v>
      </c>
      <c r="E23" s="8">
        <f>E8</f>
        <v>0</v>
      </c>
      <c r="F23" s="8">
        <f>F8</f>
        <v>0</v>
      </c>
      <c r="G23" s="28">
        <f>G8</f>
        <v>4503600</v>
      </c>
      <c r="H23" s="18"/>
      <c r="I23" s="76">
        <f>G23+'[1]DBHD TU TH 7 DEN T(2)'!G25</f>
        <v>9768600</v>
      </c>
    </row>
    <row r="24" spans="3:7" ht="15.75">
      <c r="C24" s="47"/>
      <c r="D24" s="36"/>
      <c r="G24" s="73"/>
    </row>
  </sheetData>
  <sheetProtection/>
  <mergeCells count="11">
    <mergeCell ref="C5:C6"/>
    <mergeCell ref="D5:D6"/>
    <mergeCell ref="A1:H1"/>
    <mergeCell ref="A2:H2"/>
    <mergeCell ref="A4:A6"/>
    <mergeCell ref="B4:B6"/>
    <mergeCell ref="C4:D4"/>
    <mergeCell ref="E4:E6"/>
    <mergeCell ref="F4:F6"/>
    <mergeCell ref="G4:G6"/>
    <mergeCell ref="H4:H6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">
      <selection activeCell="E6" sqref="E6"/>
    </sheetView>
  </sheetViews>
  <sheetFormatPr defaultColWidth="9.00390625" defaultRowHeight="15.75"/>
  <cols>
    <col min="1" max="1" width="10.25390625" style="31" customWidth="1"/>
    <col min="2" max="2" width="14.375" style="32" customWidth="1"/>
    <col min="3" max="3" width="61.625" style="32" customWidth="1"/>
    <col min="4" max="5" width="13.00390625" style="33" customWidth="1"/>
    <col min="6" max="6" width="12.125" style="33" customWidth="1"/>
    <col min="7" max="7" width="13.25390625" style="33" customWidth="1"/>
    <col min="8" max="8" width="12.125" style="33" customWidth="1"/>
    <col min="9" max="9" width="9.00390625" style="32" customWidth="1"/>
    <col min="10" max="10" width="12.75390625" style="33" customWidth="1"/>
    <col min="11" max="11" width="17.75390625" style="33" customWidth="1"/>
    <col min="12" max="16384" width="9.00390625" style="32" customWidth="1"/>
  </cols>
  <sheetData>
    <row r="1" spans="1:8" ht="28.5" customHeight="1">
      <c r="A1" s="186" t="s">
        <v>242</v>
      </c>
      <c r="B1" s="186"/>
      <c r="C1" s="186"/>
      <c r="D1" s="186"/>
      <c r="E1" s="186"/>
      <c r="F1" s="186"/>
      <c r="G1" s="186"/>
      <c r="H1" s="186"/>
    </row>
    <row r="2" spans="1:8" ht="21" customHeight="1">
      <c r="A2" s="186" t="s">
        <v>241</v>
      </c>
      <c r="B2" s="186"/>
      <c r="C2" s="186"/>
      <c r="D2" s="186"/>
      <c r="E2" s="186"/>
      <c r="F2" s="186"/>
      <c r="G2" s="186"/>
      <c r="H2" s="186"/>
    </row>
    <row r="3" spans="7:8" ht="18" customHeight="1">
      <c r="G3" s="187" t="s">
        <v>233</v>
      </c>
      <c r="H3" s="187"/>
    </row>
    <row r="4" spans="1:8" ht="76.5" customHeight="1">
      <c r="A4" s="61" t="s">
        <v>26</v>
      </c>
      <c r="B4" s="61" t="s">
        <v>27</v>
      </c>
      <c r="C4" s="61" t="s">
        <v>28</v>
      </c>
      <c r="D4" s="67" t="s">
        <v>216</v>
      </c>
      <c r="E4" s="67" t="s">
        <v>54</v>
      </c>
      <c r="F4" s="67" t="s">
        <v>55</v>
      </c>
      <c r="G4" s="67" t="s">
        <v>57</v>
      </c>
      <c r="H4" s="67" t="s">
        <v>56</v>
      </c>
    </row>
    <row r="5" spans="1:11" s="63" customFormat="1" ht="18" customHeight="1">
      <c r="A5" s="62" t="s">
        <v>34</v>
      </c>
      <c r="B5" s="62" t="s">
        <v>35</v>
      </c>
      <c r="C5" s="62" t="s">
        <v>36</v>
      </c>
      <c r="D5" s="62" t="s">
        <v>37</v>
      </c>
      <c r="E5" s="62" t="s">
        <v>38</v>
      </c>
      <c r="F5" s="62" t="s">
        <v>39</v>
      </c>
      <c r="G5" s="62" t="s">
        <v>58</v>
      </c>
      <c r="H5" s="62" t="s">
        <v>59</v>
      </c>
      <c r="J5" s="68"/>
      <c r="K5" s="68"/>
    </row>
    <row r="6" spans="1:8" ht="15.75">
      <c r="A6" s="92">
        <v>1</v>
      </c>
      <c r="B6" s="98" t="s">
        <v>158</v>
      </c>
      <c r="C6" s="97" t="s">
        <v>159</v>
      </c>
      <c r="D6" s="60">
        <v>16384560</v>
      </c>
      <c r="E6" s="60"/>
      <c r="F6" s="60"/>
      <c r="G6" s="60"/>
      <c r="H6" s="60"/>
    </row>
    <row r="7" spans="1:8" ht="15.75">
      <c r="A7" s="92">
        <v>2</v>
      </c>
      <c r="B7" s="98" t="s">
        <v>160</v>
      </c>
      <c r="C7" s="97" t="s">
        <v>161</v>
      </c>
      <c r="D7" s="60">
        <v>47738700</v>
      </c>
      <c r="E7" s="60"/>
      <c r="F7" s="60"/>
      <c r="G7" s="60"/>
      <c r="H7" s="60"/>
    </row>
    <row r="8" spans="1:8" ht="15.75">
      <c r="A8" s="92">
        <v>3</v>
      </c>
      <c r="B8" s="98" t="s">
        <v>162</v>
      </c>
      <c r="C8" s="97" t="s">
        <v>163</v>
      </c>
      <c r="D8" s="60">
        <v>7885475</v>
      </c>
      <c r="E8" s="60"/>
      <c r="F8" s="60"/>
      <c r="G8" s="60"/>
      <c r="H8" s="60"/>
    </row>
    <row r="9" spans="1:8" ht="15.75">
      <c r="A9" s="92">
        <v>4</v>
      </c>
      <c r="B9" s="98" t="s">
        <v>164</v>
      </c>
      <c r="C9" s="97" t="s">
        <v>165</v>
      </c>
      <c r="D9" s="60">
        <v>7999095</v>
      </c>
      <c r="E9" s="60"/>
      <c r="F9" s="60"/>
      <c r="G9" s="60"/>
      <c r="H9" s="60"/>
    </row>
    <row r="10" spans="1:8" ht="15.75">
      <c r="A10" s="92">
        <v>5</v>
      </c>
      <c r="B10" s="96" t="s">
        <v>166</v>
      </c>
      <c r="C10" s="97" t="s">
        <v>167</v>
      </c>
      <c r="D10" s="60">
        <v>40838700</v>
      </c>
      <c r="E10" s="60"/>
      <c r="F10" s="60"/>
      <c r="G10" s="60"/>
      <c r="H10" s="60"/>
    </row>
    <row r="11" spans="1:8" ht="15.75">
      <c r="A11" s="92">
        <v>6</v>
      </c>
      <c r="B11" s="99">
        <v>43409</v>
      </c>
      <c r="C11" s="97" t="s">
        <v>168</v>
      </c>
      <c r="D11" s="60">
        <v>7999095</v>
      </c>
      <c r="E11" s="60"/>
      <c r="F11" s="60"/>
      <c r="G11" s="60"/>
      <c r="H11" s="60"/>
    </row>
    <row r="12" spans="1:8" ht="15.75">
      <c r="A12" s="92">
        <v>7</v>
      </c>
      <c r="B12" s="98" t="s">
        <v>169</v>
      </c>
      <c r="C12" s="97" t="s">
        <v>170</v>
      </c>
      <c r="D12" s="60">
        <v>8206575</v>
      </c>
      <c r="E12" s="60"/>
      <c r="F12" s="60"/>
      <c r="G12" s="60"/>
      <c r="H12" s="60"/>
    </row>
    <row r="13" spans="1:8" ht="15.75">
      <c r="A13" s="92">
        <v>8</v>
      </c>
      <c r="B13" s="98" t="s">
        <v>171</v>
      </c>
      <c r="C13" s="97" t="s">
        <v>172</v>
      </c>
      <c r="D13" s="60">
        <v>8033675</v>
      </c>
      <c r="E13" s="60"/>
      <c r="F13" s="60"/>
      <c r="G13" s="60"/>
      <c r="H13" s="60"/>
    </row>
    <row r="14" spans="1:8" ht="15.75">
      <c r="A14" s="92">
        <v>9</v>
      </c>
      <c r="B14" s="98" t="s">
        <v>173</v>
      </c>
      <c r="C14" s="97" t="s">
        <v>174</v>
      </c>
      <c r="D14" s="60">
        <v>8033675</v>
      </c>
      <c r="E14" s="60"/>
      <c r="F14" s="60"/>
      <c r="G14" s="60"/>
      <c r="H14" s="60"/>
    </row>
    <row r="15" spans="1:8" ht="15.75">
      <c r="A15" s="92">
        <v>10</v>
      </c>
      <c r="B15" s="98" t="s">
        <v>175</v>
      </c>
      <c r="C15" s="97" t="s">
        <v>176</v>
      </c>
      <c r="D15" s="60">
        <v>108000000</v>
      </c>
      <c r="E15" s="60"/>
      <c r="F15" s="60"/>
      <c r="G15" s="60"/>
      <c r="H15" s="60"/>
    </row>
    <row r="16" spans="1:8" ht="15.75">
      <c r="A16" s="92">
        <v>11</v>
      </c>
      <c r="B16" s="98" t="s">
        <v>177</v>
      </c>
      <c r="C16" s="97" t="s">
        <v>178</v>
      </c>
      <c r="D16" s="60">
        <v>8126300</v>
      </c>
      <c r="E16" s="60"/>
      <c r="F16" s="60"/>
      <c r="G16" s="60"/>
      <c r="H16" s="60"/>
    </row>
    <row r="17" spans="1:8" ht="15.75">
      <c r="A17" s="92">
        <v>12</v>
      </c>
      <c r="B17" s="98" t="s">
        <v>179</v>
      </c>
      <c r="C17" s="97" t="s">
        <v>182</v>
      </c>
      <c r="D17" s="60">
        <v>56275932</v>
      </c>
      <c r="E17" s="60"/>
      <c r="F17" s="60"/>
      <c r="G17" s="60"/>
      <c r="H17" s="60"/>
    </row>
    <row r="18" spans="1:8" ht="15.75">
      <c r="A18" s="92">
        <v>13</v>
      </c>
      <c r="B18" s="98" t="s">
        <v>180</v>
      </c>
      <c r="C18" s="97" t="s">
        <v>181</v>
      </c>
      <c r="D18" s="60">
        <v>8472000</v>
      </c>
      <c r="E18" s="60"/>
      <c r="F18" s="60"/>
      <c r="G18" s="60"/>
      <c r="H18" s="60"/>
    </row>
    <row r="19" spans="1:8" ht="15.75">
      <c r="A19" s="92">
        <v>14</v>
      </c>
      <c r="B19" s="98" t="s">
        <v>183</v>
      </c>
      <c r="C19" s="97" t="s">
        <v>184</v>
      </c>
      <c r="D19" s="60">
        <v>8225100</v>
      </c>
      <c r="E19" s="60"/>
      <c r="F19" s="60"/>
      <c r="G19" s="60"/>
      <c r="H19" s="60"/>
    </row>
    <row r="20" spans="1:8" ht="15.75">
      <c r="A20" s="92">
        <v>15</v>
      </c>
      <c r="B20" s="98" t="s">
        <v>185</v>
      </c>
      <c r="C20" s="97" t="s">
        <v>186</v>
      </c>
      <c r="D20" s="60">
        <v>51311173</v>
      </c>
      <c r="E20" s="60"/>
      <c r="F20" s="60"/>
      <c r="G20" s="60"/>
      <c r="H20" s="60"/>
    </row>
    <row r="21" spans="1:8" ht="15.75">
      <c r="A21" s="92">
        <v>16</v>
      </c>
      <c r="B21" s="93" t="s">
        <v>60</v>
      </c>
      <c r="C21" s="70" t="s">
        <v>191</v>
      </c>
      <c r="D21" s="152"/>
      <c r="E21" s="152">
        <f>'CK (1)'!L42</f>
        <v>13385270</v>
      </c>
      <c r="F21" s="152">
        <f>'CK (1)'!O42</f>
        <v>6202930</v>
      </c>
      <c r="G21" s="152">
        <f>E21+F21</f>
        <v>19588200</v>
      </c>
      <c r="H21" s="152"/>
    </row>
    <row r="22" spans="1:8" ht="15.75">
      <c r="A22" s="92">
        <v>17</v>
      </c>
      <c r="B22" s="93" t="s">
        <v>61</v>
      </c>
      <c r="C22" s="70" t="s">
        <v>192</v>
      </c>
      <c r="D22" s="152"/>
      <c r="E22" s="152">
        <f>'CK (2)'!L42</f>
        <v>11905375</v>
      </c>
      <c r="F22" s="152">
        <f>'CK (2)'!O42</f>
        <v>5517125</v>
      </c>
      <c r="G22" s="152">
        <f aca="true" t="shared" si="0" ref="G22:G36">E22+F22</f>
        <v>17422500</v>
      </c>
      <c r="H22" s="152"/>
    </row>
    <row r="23" spans="1:8" ht="15.75">
      <c r="A23" s="92">
        <v>18</v>
      </c>
      <c r="B23" s="93" t="s">
        <v>62</v>
      </c>
      <c r="C23" s="70" t="s">
        <v>193</v>
      </c>
      <c r="D23" s="152"/>
      <c r="E23" s="152">
        <f>'CK (3)'!L42</f>
        <v>13403925</v>
      </c>
      <c r="F23" s="152">
        <f>'CK (3)'!O42</f>
        <v>6211575</v>
      </c>
      <c r="G23" s="152">
        <f t="shared" si="0"/>
        <v>19615500</v>
      </c>
      <c r="H23" s="152"/>
    </row>
    <row r="24" spans="1:8" ht="15.75">
      <c r="A24" s="92">
        <v>19</v>
      </c>
      <c r="B24" s="93" t="s">
        <v>63</v>
      </c>
      <c r="C24" s="70" t="s">
        <v>194</v>
      </c>
      <c r="D24" s="152"/>
      <c r="E24" s="152">
        <f>'CK (4)'!L42</f>
        <v>13510525</v>
      </c>
      <c r="F24" s="152">
        <f>'CK (4)'!O42</f>
        <v>6260975</v>
      </c>
      <c r="G24" s="152">
        <f t="shared" si="0"/>
        <v>19771500</v>
      </c>
      <c r="H24" s="152"/>
    </row>
    <row r="25" spans="1:8" ht="15.75">
      <c r="A25" s="92">
        <v>20</v>
      </c>
      <c r="B25" s="93" t="s">
        <v>63</v>
      </c>
      <c r="C25" s="94" t="s">
        <v>217</v>
      </c>
      <c r="D25" s="152"/>
      <c r="E25" s="153">
        <f>'KCT XA(1_&gt;6)'!I39</f>
        <v>21112000.000000004</v>
      </c>
      <c r="F25" s="152">
        <f>'KCT XA(1_&gt;6)'!L39</f>
        <v>12064000</v>
      </c>
      <c r="G25" s="152">
        <f t="shared" si="0"/>
        <v>33176000.000000004</v>
      </c>
      <c r="H25" s="152"/>
    </row>
    <row r="26" spans="1:8" ht="15.75">
      <c r="A26" s="92">
        <v>21</v>
      </c>
      <c r="B26" s="93" t="s">
        <v>64</v>
      </c>
      <c r="C26" s="70" t="s">
        <v>195</v>
      </c>
      <c r="D26" s="152"/>
      <c r="E26" s="152">
        <f>'CK (5)'!L42</f>
        <v>13557675</v>
      </c>
      <c r="F26" s="152">
        <f>'CK (5)'!O42</f>
        <v>6282825</v>
      </c>
      <c r="G26" s="152">
        <f t="shared" si="0"/>
        <v>19840500</v>
      </c>
      <c r="H26" s="152"/>
    </row>
    <row r="27" spans="1:8" ht="15.75">
      <c r="A27" s="92">
        <v>22</v>
      </c>
      <c r="B27" s="93" t="s">
        <v>65</v>
      </c>
      <c r="C27" s="70" t="s">
        <v>196</v>
      </c>
      <c r="D27" s="152"/>
      <c r="E27" s="153">
        <f>'CK (6)'!L42</f>
        <v>14181285</v>
      </c>
      <c r="F27" s="152">
        <f>'CK (6)'!O42</f>
        <v>6571815</v>
      </c>
      <c r="G27" s="152">
        <f t="shared" si="0"/>
        <v>20753100</v>
      </c>
      <c r="H27" s="152"/>
    </row>
    <row r="28" spans="1:8" ht="15.75">
      <c r="A28" s="92">
        <v>23</v>
      </c>
      <c r="B28" s="93" t="s">
        <v>66</v>
      </c>
      <c r="C28" s="70" t="s">
        <v>197</v>
      </c>
      <c r="D28" s="152"/>
      <c r="E28" s="152">
        <f>'CK (7)'!L42</f>
        <v>15252533</v>
      </c>
      <c r="F28" s="152">
        <f>'CK (7)'!O42</f>
        <v>7068247</v>
      </c>
      <c r="G28" s="152">
        <f t="shared" si="0"/>
        <v>22320780</v>
      </c>
      <c r="H28" s="152"/>
    </row>
    <row r="29" spans="1:11" ht="15.75">
      <c r="A29" s="92">
        <v>24</v>
      </c>
      <c r="B29" s="93" t="s">
        <v>66</v>
      </c>
      <c r="C29" s="95" t="s">
        <v>198</v>
      </c>
      <c r="D29" s="152"/>
      <c r="E29" s="152">
        <f>'HDND T1_&gt;5'!G23</f>
        <v>4212000</v>
      </c>
      <c r="F29" s="152"/>
      <c r="G29" s="152">
        <f t="shared" si="0"/>
        <v>4212000</v>
      </c>
      <c r="H29" s="152"/>
      <c r="K29" s="32"/>
    </row>
    <row r="30" spans="1:8" ht="15.75">
      <c r="A30" s="92">
        <v>25</v>
      </c>
      <c r="B30" s="93" t="s">
        <v>67</v>
      </c>
      <c r="C30" s="70" t="s">
        <v>199</v>
      </c>
      <c r="D30" s="152"/>
      <c r="E30" s="152">
        <f>'CK (8)'!L42</f>
        <v>15252533</v>
      </c>
      <c r="F30" s="152">
        <f>'CK (8)'!O42</f>
        <v>7068247</v>
      </c>
      <c r="G30" s="152">
        <f t="shared" si="0"/>
        <v>22320780</v>
      </c>
      <c r="H30" s="152"/>
    </row>
    <row r="31" spans="1:8" ht="15.75">
      <c r="A31" s="92">
        <v>26</v>
      </c>
      <c r="B31" s="93" t="s">
        <v>68</v>
      </c>
      <c r="C31" s="70" t="s">
        <v>200</v>
      </c>
      <c r="D31" s="152"/>
      <c r="E31" s="152">
        <f>'CK (9)'!L42</f>
        <v>15252533</v>
      </c>
      <c r="F31" s="152">
        <f>'CK (9)'!O42</f>
        <v>7068247</v>
      </c>
      <c r="G31" s="152">
        <f t="shared" si="0"/>
        <v>22320780</v>
      </c>
      <c r="H31" s="152"/>
    </row>
    <row r="32" spans="1:8" ht="15.75">
      <c r="A32" s="92">
        <v>27</v>
      </c>
      <c r="B32" s="93" t="s">
        <v>69</v>
      </c>
      <c r="C32" s="70" t="s">
        <v>201</v>
      </c>
      <c r="D32" s="152"/>
      <c r="E32" s="152">
        <f>'CK (10)'!L42</f>
        <v>15252533</v>
      </c>
      <c r="F32" s="152">
        <f>'CK (10)'!O42</f>
        <v>7068247</v>
      </c>
      <c r="G32" s="152">
        <f t="shared" si="0"/>
        <v>22320780</v>
      </c>
      <c r="H32" s="152"/>
    </row>
    <row r="33" spans="1:8" ht="15.75">
      <c r="A33" s="92">
        <v>28</v>
      </c>
      <c r="B33" s="93" t="s">
        <v>70</v>
      </c>
      <c r="C33" s="70" t="s">
        <v>202</v>
      </c>
      <c r="D33" s="152"/>
      <c r="E33" s="152">
        <f>'CK (11)'!L42</f>
        <v>15252533</v>
      </c>
      <c r="F33" s="152">
        <f>'CK (11)'!O42</f>
        <v>7068247</v>
      </c>
      <c r="G33" s="152">
        <f t="shared" si="0"/>
        <v>22320780</v>
      </c>
      <c r="H33" s="152"/>
    </row>
    <row r="34" spans="1:11" ht="15.75">
      <c r="A34" s="92">
        <v>29</v>
      </c>
      <c r="B34" s="93" t="s">
        <v>71</v>
      </c>
      <c r="C34" s="95" t="s">
        <v>203</v>
      </c>
      <c r="D34" s="152"/>
      <c r="E34" s="152">
        <f>'HDND T6_&gt;12'!G23</f>
        <v>4503600</v>
      </c>
      <c r="F34" s="152"/>
      <c r="G34" s="152">
        <f t="shared" si="0"/>
        <v>4503600</v>
      </c>
      <c r="H34" s="152"/>
      <c r="K34" s="32"/>
    </row>
    <row r="35" spans="1:8" ht="15.75">
      <c r="A35" s="92">
        <v>30</v>
      </c>
      <c r="B35" s="93" t="s">
        <v>71</v>
      </c>
      <c r="C35" s="97" t="s">
        <v>218</v>
      </c>
      <c r="D35" s="152"/>
      <c r="E35" s="152">
        <f>'KCT XA(12)'!I39</f>
        <v>22184400.000000004</v>
      </c>
      <c r="F35" s="152">
        <f>'KCT XA(12)'!L39</f>
        <v>12676800</v>
      </c>
      <c r="G35" s="152">
        <f t="shared" si="0"/>
        <v>34861200</v>
      </c>
      <c r="H35" s="152"/>
    </row>
    <row r="36" spans="1:8" ht="15.75">
      <c r="A36" s="92">
        <v>31</v>
      </c>
      <c r="B36" s="93" t="s">
        <v>71</v>
      </c>
      <c r="C36" s="70" t="s">
        <v>204</v>
      </c>
      <c r="D36" s="152"/>
      <c r="E36" s="152">
        <f>'CK (12)'!L42</f>
        <v>15403556.5</v>
      </c>
      <c r="F36" s="152">
        <f>'CK (12)'!O42</f>
        <v>7138233.5</v>
      </c>
      <c r="G36" s="152">
        <f t="shared" si="0"/>
        <v>22541790</v>
      </c>
      <c r="H36" s="152"/>
    </row>
    <row r="37" spans="1:11" ht="22.5" customHeight="1">
      <c r="A37" s="34"/>
      <c r="B37" s="35"/>
      <c r="C37" s="155" t="s">
        <v>13</v>
      </c>
      <c r="D37" s="154">
        <f>SUM(D6:D36)</f>
        <v>393530055</v>
      </c>
      <c r="E37" s="154">
        <f>SUM(E6:E36)</f>
        <v>223622276.5</v>
      </c>
      <c r="F37" s="154">
        <f>SUM(F6:F36)</f>
        <v>104267513.5</v>
      </c>
      <c r="G37" s="154">
        <f>SUM(G6:G36)</f>
        <v>327889790</v>
      </c>
      <c r="H37" s="154">
        <f>D37-G37</f>
        <v>65640265</v>
      </c>
      <c r="K37" s="69"/>
    </row>
    <row r="38" spans="1:11" ht="59.25" customHeight="1">
      <c r="A38" s="184"/>
      <c r="B38" s="185"/>
      <c r="C38" s="185"/>
      <c r="D38" s="185"/>
      <c r="E38" s="185"/>
      <c r="F38" s="185"/>
      <c r="G38" s="185"/>
      <c r="H38" s="185"/>
      <c r="K38" s="69"/>
    </row>
    <row r="39" ht="15.75">
      <c r="E39" s="69"/>
    </row>
  </sheetData>
  <sheetProtection/>
  <mergeCells count="4">
    <mergeCell ref="A38:H38"/>
    <mergeCell ref="A1:H1"/>
    <mergeCell ref="A2:H2"/>
    <mergeCell ref="G3:H3"/>
  </mergeCells>
  <printOptions horizontalCentered="1"/>
  <pageMargins left="0.5" right="0.5" top="0.5" bottom="0.5" header="0.5" footer="0.5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4" sqref="A14"/>
    </sheetView>
  </sheetViews>
  <sheetFormatPr defaultColWidth="9.00390625" defaultRowHeight="15.75"/>
  <cols>
    <col min="1" max="1" width="35.125" style="0" customWidth="1"/>
    <col min="2" max="2" width="16.00390625" style="0" customWidth="1"/>
    <col min="3" max="3" width="31.375" style="0" customWidth="1"/>
  </cols>
  <sheetData>
    <row r="1" ht="15.75">
      <c r="A1" s="79" t="s">
        <v>75</v>
      </c>
    </row>
    <row r="2" ht="15.75">
      <c r="A2" s="81"/>
    </row>
    <row r="3" spans="1:3" ht="30">
      <c r="A3" s="82" t="s">
        <v>76</v>
      </c>
      <c r="B3" s="82" t="s">
        <v>77</v>
      </c>
      <c r="C3" s="82" t="s">
        <v>78</v>
      </c>
    </row>
    <row r="4" spans="1:3" ht="15.75">
      <c r="A4" s="83" t="s">
        <v>79</v>
      </c>
      <c r="B4" s="84">
        <v>290000</v>
      </c>
      <c r="C4" s="86" t="s">
        <v>80</v>
      </c>
    </row>
    <row r="5" spans="1:3" ht="15.75">
      <c r="A5" s="83" t="s">
        <v>81</v>
      </c>
      <c r="B5" s="84">
        <v>350000</v>
      </c>
      <c r="C5" s="86" t="s">
        <v>82</v>
      </c>
    </row>
    <row r="6" spans="1:3" ht="15.75">
      <c r="A6" s="83" t="s">
        <v>83</v>
      </c>
      <c r="B6" s="84">
        <v>450000</v>
      </c>
      <c r="C6" s="86" t="s">
        <v>84</v>
      </c>
    </row>
    <row r="7" spans="1:3" ht="15.75">
      <c r="A7" s="83" t="s">
        <v>85</v>
      </c>
      <c r="B7" s="84">
        <v>540000</v>
      </c>
      <c r="C7" s="85" t="s">
        <v>86</v>
      </c>
    </row>
    <row r="8" spans="1:3" ht="15.75">
      <c r="A8" s="83" t="s">
        <v>87</v>
      </c>
      <c r="B8" s="84">
        <v>650000</v>
      </c>
      <c r="C8" s="86" t="s">
        <v>88</v>
      </c>
    </row>
    <row r="9" spans="1:3" ht="15.75">
      <c r="A9" s="83" t="s">
        <v>89</v>
      </c>
      <c r="B9" s="84">
        <v>730000</v>
      </c>
      <c r="C9" s="86" t="s">
        <v>90</v>
      </c>
    </row>
    <row r="10" spans="1:3" ht="15.75">
      <c r="A10" s="83" t="s">
        <v>91</v>
      </c>
      <c r="B10" s="84">
        <v>830000</v>
      </c>
      <c r="C10" s="86" t="s">
        <v>92</v>
      </c>
    </row>
    <row r="11" spans="1:3" ht="15.75">
      <c r="A11" s="83" t="s">
        <v>93</v>
      </c>
      <c r="B11" s="84">
        <v>1050000</v>
      </c>
      <c r="C11" s="86" t="s">
        <v>94</v>
      </c>
    </row>
    <row r="12" spans="1:3" ht="15.75">
      <c r="A12" s="83" t="s">
        <v>95</v>
      </c>
      <c r="B12" s="84">
        <v>1150000</v>
      </c>
      <c r="C12" s="86" t="s">
        <v>96</v>
      </c>
    </row>
    <row r="13" spans="1:3" ht="15.75">
      <c r="A13" s="83" t="s">
        <v>97</v>
      </c>
      <c r="B13" s="84" t="s">
        <v>205</v>
      </c>
      <c r="C13" s="86" t="s">
        <v>98</v>
      </c>
    </row>
    <row r="14" spans="1:3" ht="15.75">
      <c r="A14" s="83" t="s">
        <v>99</v>
      </c>
      <c r="B14" s="84">
        <v>1300000</v>
      </c>
      <c r="C14" s="86" t="s">
        <v>100</v>
      </c>
    </row>
    <row r="15" spans="1:3" ht="15.75">
      <c r="A15" s="83" t="s">
        <v>101</v>
      </c>
      <c r="B15" s="84">
        <v>1390000</v>
      </c>
      <c r="C15" s="87" t="s">
        <v>102</v>
      </c>
    </row>
    <row r="16" spans="1:3" ht="15.75">
      <c r="A16" s="188" t="s">
        <v>103</v>
      </c>
      <c r="B16" s="191">
        <v>1490000</v>
      </c>
      <c r="C16" s="88"/>
    </row>
    <row r="17" spans="1:3" ht="15.75">
      <c r="A17" s="189"/>
      <c r="B17" s="192"/>
      <c r="C17" s="89" t="s">
        <v>104</v>
      </c>
    </row>
    <row r="18" spans="1:3" ht="15.75">
      <c r="A18" s="190"/>
      <c r="B18" s="193"/>
      <c r="C18" s="90"/>
    </row>
    <row r="19" ht="15.75">
      <c r="A19" s="80"/>
    </row>
    <row r="20" ht="15.75">
      <c r="A20" s="91" t="s">
        <v>105</v>
      </c>
    </row>
  </sheetData>
  <sheetProtection/>
  <mergeCells count="2">
    <mergeCell ref="A16:A18"/>
    <mergeCell ref="B16:B18"/>
  </mergeCells>
  <hyperlinks>
    <hyperlink ref="C4" r:id="rId1" display="http://luatvietnam.vn/lao-dong/nghi-dinh-203-2004-nd-cp-chinh-phu-16737-d1.html"/>
    <hyperlink ref="C5" r:id="rId2" display="http://luatvietnam.vn/lao-dong/nghi-dinh-118-2005-nd-cp-chinh-phu-17742-d1.html"/>
    <hyperlink ref="C6" r:id="rId3" display="http://luatvietnam.vn/lao-dong/nghi-dinh-94-2006-nd-cp-chinh-phu-19107-d1.html"/>
    <hyperlink ref="C8" r:id="rId4" display="https://luatvietnam.vn/lao-dong/nghi-dinh-33-2009-nd-cp-chinh-phu-40933-d1.html"/>
    <hyperlink ref="C9" r:id="rId5" display="https://luatvietnam.vn/lao-dong/nghi-dinh-28-2010-nd-cp-chinh-phu-50901-d1.html"/>
    <hyperlink ref="C10" r:id="rId6" display="https://luatvietnam.vn/lao-dong/nghi-dinh-22-2011-nd-cp-chinh-phu-60627-d1.html"/>
    <hyperlink ref="C11" r:id="rId7" display="http://luatvietnam.vn/lao-dong/nghi-dinh-31-2012-nd-cp-chinh-phu-69633-d1.html"/>
    <hyperlink ref="C12" r:id="rId8" display="http://luatvietnam.vn/lao-dong/nghi-dinh-66-2013-nd-cp-chinh-phu-79354-d1.html"/>
    <hyperlink ref="C13" r:id="rId9" display="http://luatvietnam.vn/lao-dong/nghi-dinh-47-2016-nd-cp-chinh-phu-105535-d1.html"/>
    <hyperlink ref="C14" r:id="rId10" display="http://luatvietnam.vn/lao-dong/nghi-dinh-47-2017-nd-cp-chinh-phu-113971-d1.html"/>
    <hyperlink ref="C15" r:id="rId11" display="http://luatvietnam.vn/lao-dong/nghi-dinh-72-2018-nd-cp-muc-luong-co-so-voi-can-bo-cong-chuc-vien-chuc-luc-luong-vu-trang-163061-d1.html"/>
    <hyperlink ref="C17" r:id="rId12" display="https://luatvietnam.vn/tai-chinh/nghi-quyet-70-2018-qh14-ve-du-toan-ngan-sach-nha-nuoc-nam-2019-169350-d1.html"/>
  </hyperlinks>
  <printOptions/>
  <pageMargins left="0.7" right="0.7" top="0.75" bottom="0.75" header="0.3" footer="0.3"/>
  <pageSetup orientation="portrait" paperSize="9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view="pageBreakPreview" zoomScale="90" zoomScaleNormal="90" zoomScaleSheetLayoutView="90" zoomScalePageLayoutView="0" workbookViewId="0" topLeftCell="A1">
      <selection activeCell="K42" sqref="K42"/>
    </sheetView>
  </sheetViews>
  <sheetFormatPr defaultColWidth="9.00390625" defaultRowHeight="15.75"/>
  <cols>
    <col min="1" max="1" width="3.50390625" style="6" customWidth="1"/>
    <col min="2" max="2" width="15.875" style="6" customWidth="1"/>
    <col min="3" max="3" width="8.00390625" style="6" customWidth="1"/>
    <col min="4" max="4" width="10.875" style="6" customWidth="1"/>
    <col min="5" max="5" width="6.00390625" style="7" customWidth="1"/>
    <col min="6" max="6" width="8.75390625" style="6" customWidth="1"/>
    <col min="7" max="7" width="6.625" style="7" customWidth="1"/>
    <col min="8" max="9" width="9.625" style="6" customWidth="1"/>
    <col min="10" max="10" width="11.125" style="6" customWidth="1"/>
    <col min="11" max="11" width="11.375" style="6" customWidth="1"/>
    <col min="12" max="12" width="11.125" style="51" customWidth="1"/>
    <col min="13" max="13" width="11.00390625" style="6" customWidth="1"/>
    <col min="14" max="14" width="11.50390625" style="6" customWidth="1"/>
    <col min="15" max="15" width="11.00390625" style="56" customWidth="1"/>
    <col min="16" max="16" width="10.875" style="6" customWidth="1"/>
    <col min="17" max="17" width="8.50390625" style="6" customWidth="1"/>
    <col min="18" max="19" width="11.00390625" style="6" customWidth="1"/>
    <col min="20" max="20" width="10.375" style="6" customWidth="1"/>
    <col min="21" max="21" width="11.125" style="6" bestFit="1" customWidth="1"/>
    <col min="22" max="16384" width="9.00390625" style="6" customWidth="1"/>
  </cols>
  <sheetData>
    <row r="1" spans="1:22" ht="21.75" customHeight="1">
      <c r="A1" s="158" t="s">
        <v>106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37"/>
      <c r="V1" s="37"/>
    </row>
    <row r="2" spans="1:20" ht="16.5" customHeight="1">
      <c r="A2" s="158" t="s">
        <v>206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15" ht="15.75">
      <c r="A3" s="6" t="s">
        <v>53</v>
      </c>
      <c r="D3" s="38"/>
      <c r="E3" s="39"/>
      <c r="F3" s="40"/>
      <c r="L3" s="6"/>
      <c r="O3" s="6"/>
    </row>
    <row r="4" spans="1:20" ht="15.75" customHeight="1">
      <c r="A4" s="171" t="s">
        <v>14</v>
      </c>
      <c r="B4" s="171" t="s">
        <v>24</v>
      </c>
      <c r="C4" s="174" t="s">
        <v>7</v>
      </c>
      <c r="D4" s="175"/>
      <c r="E4" s="157"/>
      <c r="F4" s="157"/>
      <c r="G4" s="157"/>
      <c r="H4" s="157"/>
      <c r="I4" s="159" t="s">
        <v>31</v>
      </c>
      <c r="J4" s="162" t="s">
        <v>22</v>
      </c>
      <c r="K4" s="163"/>
      <c r="L4" s="164"/>
      <c r="M4" s="162" t="s">
        <v>21</v>
      </c>
      <c r="N4" s="163"/>
      <c r="O4" s="164"/>
      <c r="P4" s="159" t="s">
        <v>29</v>
      </c>
      <c r="Q4" s="159" t="s">
        <v>30</v>
      </c>
      <c r="R4" s="159" t="s">
        <v>32</v>
      </c>
      <c r="S4" s="159" t="s">
        <v>33</v>
      </c>
      <c r="T4" s="159" t="s">
        <v>16</v>
      </c>
    </row>
    <row r="5" spans="1:20" ht="30" customHeight="1">
      <c r="A5" s="172"/>
      <c r="B5" s="172"/>
      <c r="C5" s="159" t="s">
        <v>9</v>
      </c>
      <c r="D5" s="159" t="s">
        <v>8</v>
      </c>
      <c r="E5" s="168" t="s">
        <v>23</v>
      </c>
      <c r="F5" s="169"/>
      <c r="G5" s="168" t="s">
        <v>10</v>
      </c>
      <c r="H5" s="170"/>
      <c r="I5" s="160"/>
      <c r="J5" s="165"/>
      <c r="K5" s="166"/>
      <c r="L5" s="167"/>
      <c r="M5" s="165"/>
      <c r="N5" s="166"/>
      <c r="O5" s="167"/>
      <c r="P5" s="160"/>
      <c r="Q5" s="160"/>
      <c r="R5" s="160"/>
      <c r="S5" s="160"/>
      <c r="T5" s="160"/>
    </row>
    <row r="6" spans="1:20" ht="79.5" customHeight="1">
      <c r="A6" s="173"/>
      <c r="B6" s="173"/>
      <c r="C6" s="161"/>
      <c r="D6" s="161"/>
      <c r="E6" s="2" t="s">
        <v>11</v>
      </c>
      <c r="F6" s="2" t="s">
        <v>8</v>
      </c>
      <c r="G6" s="2" t="s">
        <v>11</v>
      </c>
      <c r="H6" s="30" t="s">
        <v>8</v>
      </c>
      <c r="I6" s="161"/>
      <c r="J6" s="3" t="s">
        <v>17</v>
      </c>
      <c r="K6" s="3" t="s">
        <v>222</v>
      </c>
      <c r="L6" s="4" t="s">
        <v>13</v>
      </c>
      <c r="M6" s="3" t="s">
        <v>18</v>
      </c>
      <c r="N6" s="3" t="s">
        <v>19</v>
      </c>
      <c r="O6" s="57" t="s">
        <v>13</v>
      </c>
      <c r="P6" s="160"/>
      <c r="Q6" s="161"/>
      <c r="R6" s="161"/>
      <c r="S6" s="161"/>
      <c r="T6" s="161"/>
    </row>
    <row r="7" spans="1:20" ht="18.75" customHeight="1">
      <c r="A7" s="54" t="s">
        <v>34</v>
      </c>
      <c r="B7" s="54" t="s">
        <v>35</v>
      </c>
      <c r="C7" s="54" t="s">
        <v>36</v>
      </c>
      <c r="D7" s="54" t="s">
        <v>37</v>
      </c>
      <c r="E7" s="54" t="s">
        <v>38</v>
      </c>
      <c r="F7" s="54" t="s">
        <v>39</v>
      </c>
      <c r="G7" s="54" t="s">
        <v>40</v>
      </c>
      <c r="H7" s="54" t="s">
        <v>41</v>
      </c>
      <c r="I7" s="54" t="s">
        <v>42</v>
      </c>
      <c r="J7" s="55" t="s">
        <v>43</v>
      </c>
      <c r="K7" s="55" t="s">
        <v>44</v>
      </c>
      <c r="L7" s="55" t="s">
        <v>45</v>
      </c>
      <c r="M7" s="55" t="s">
        <v>46</v>
      </c>
      <c r="N7" s="55" t="s">
        <v>47</v>
      </c>
      <c r="O7" s="55" t="s">
        <v>48</v>
      </c>
      <c r="P7" s="55" t="s">
        <v>15</v>
      </c>
      <c r="Q7" s="54" t="s">
        <v>49</v>
      </c>
      <c r="R7" s="54" t="s">
        <v>50</v>
      </c>
      <c r="S7" s="54" t="s">
        <v>51</v>
      </c>
      <c r="T7" s="54" t="s">
        <v>52</v>
      </c>
    </row>
    <row r="8" spans="1:20" ht="15.75">
      <c r="A8" s="16"/>
      <c r="B8" s="17" t="s">
        <v>0</v>
      </c>
      <c r="C8" s="41">
        <f aca="true" t="shared" si="0" ref="C8:H8">SUM(C9:C24)</f>
        <v>31.549999999999997</v>
      </c>
      <c r="D8" s="42">
        <f t="shared" si="0"/>
        <v>36282500</v>
      </c>
      <c r="E8" s="64">
        <f t="shared" si="0"/>
        <v>0</v>
      </c>
      <c r="F8" s="42">
        <f t="shared" si="0"/>
        <v>0</v>
      </c>
      <c r="G8" s="15">
        <f t="shared" si="0"/>
        <v>0.8999999999999999</v>
      </c>
      <c r="H8" s="9">
        <f t="shared" si="0"/>
        <v>1035000</v>
      </c>
      <c r="I8" s="9"/>
      <c r="J8" s="42">
        <f aca="true" t="shared" si="1" ref="J8:O8">SUM(J9:J24)</f>
        <v>1119525</v>
      </c>
      <c r="K8" s="42">
        <f t="shared" si="1"/>
        <v>6530562.5</v>
      </c>
      <c r="L8" s="42">
        <f t="shared" si="1"/>
        <v>7650087.5</v>
      </c>
      <c r="M8" s="42">
        <f t="shared" si="1"/>
        <v>559762.5</v>
      </c>
      <c r="N8" s="42">
        <f t="shared" si="1"/>
        <v>2985400</v>
      </c>
      <c r="O8" s="42">
        <f t="shared" si="1"/>
        <v>3545162.5</v>
      </c>
      <c r="P8" s="42"/>
      <c r="Q8" s="42"/>
      <c r="R8" s="42"/>
      <c r="S8" s="43"/>
      <c r="T8" s="16"/>
    </row>
    <row r="9" spans="1:20" ht="15.75">
      <c r="A9" s="21" t="s">
        <v>34</v>
      </c>
      <c r="B9" s="1" t="s">
        <v>108</v>
      </c>
      <c r="C9" s="22">
        <v>2.46</v>
      </c>
      <c r="D9" s="44">
        <f aca="true" t="shared" si="2" ref="D9:D22">(C9*1150000)</f>
        <v>2829000</v>
      </c>
      <c r="E9" s="78"/>
      <c r="F9" s="45">
        <f aca="true" t="shared" si="3" ref="F9:F22">(E9*1150000)</f>
        <v>0</v>
      </c>
      <c r="G9" s="22">
        <v>0.25</v>
      </c>
      <c r="H9" s="45">
        <f aca="true" t="shared" si="4" ref="H9:H22">(G9*1150000)</f>
        <v>287500</v>
      </c>
      <c r="I9" s="45">
        <v>1300000</v>
      </c>
      <c r="J9" s="44">
        <f aca="true" t="shared" si="5" ref="J9:J21">(D9+F9+H9)*3%</f>
        <v>93495</v>
      </c>
      <c r="K9" s="44">
        <f>(D9+F9+H9)*17.5%</f>
        <v>545387.5</v>
      </c>
      <c r="L9" s="44">
        <f aca="true" t="shared" si="6" ref="L9:L21">J9+K9</f>
        <v>638882.5</v>
      </c>
      <c r="M9" s="44">
        <f aca="true" t="shared" si="7" ref="M9:M21">(D9+F9+H9)*1.5%</f>
        <v>46747.5</v>
      </c>
      <c r="N9" s="44">
        <f aca="true" t="shared" si="8" ref="N9:N21">(D9+F9+H9)*8%</f>
        <v>249320</v>
      </c>
      <c r="O9" s="44">
        <f aca="true" t="shared" si="9" ref="O9:O21">M9+N9</f>
        <v>296067.5</v>
      </c>
      <c r="P9" s="44"/>
      <c r="Q9" s="44"/>
      <c r="R9" s="44"/>
      <c r="S9" s="16"/>
      <c r="T9" s="16"/>
    </row>
    <row r="10" spans="1:20" ht="15.75">
      <c r="A10" s="21" t="s">
        <v>35</v>
      </c>
      <c r="B10" s="18" t="s">
        <v>109</v>
      </c>
      <c r="C10" s="22">
        <v>2.46</v>
      </c>
      <c r="D10" s="44">
        <f t="shared" si="2"/>
        <v>2829000</v>
      </c>
      <c r="E10" s="12"/>
      <c r="F10" s="45">
        <f t="shared" si="3"/>
        <v>0</v>
      </c>
      <c r="G10" s="22">
        <v>0.2</v>
      </c>
      <c r="H10" s="45">
        <f t="shared" si="4"/>
        <v>230000</v>
      </c>
      <c r="I10" s="45">
        <v>1300000</v>
      </c>
      <c r="J10" s="44">
        <f t="shared" si="5"/>
        <v>91770</v>
      </c>
      <c r="K10" s="44">
        <f aca="true" t="shared" si="10" ref="K10:K22">(D10+F10+H10)*17.5%</f>
        <v>535325</v>
      </c>
      <c r="L10" s="44">
        <f t="shared" si="6"/>
        <v>627095</v>
      </c>
      <c r="M10" s="44">
        <f t="shared" si="7"/>
        <v>45885</v>
      </c>
      <c r="N10" s="44">
        <f t="shared" si="8"/>
        <v>244720</v>
      </c>
      <c r="O10" s="44">
        <f t="shared" si="9"/>
        <v>290605</v>
      </c>
      <c r="P10" s="44"/>
      <c r="Q10" s="44"/>
      <c r="R10" s="44"/>
      <c r="S10" s="18"/>
      <c r="T10" s="18"/>
    </row>
    <row r="11" spans="1:20" ht="15.75">
      <c r="A11" s="21" t="s">
        <v>36</v>
      </c>
      <c r="B11" s="18" t="s">
        <v>110</v>
      </c>
      <c r="C11" s="22">
        <v>2.66</v>
      </c>
      <c r="D11" s="44">
        <f t="shared" si="2"/>
        <v>3059000</v>
      </c>
      <c r="E11" s="22"/>
      <c r="F11" s="45">
        <f t="shared" si="3"/>
        <v>0</v>
      </c>
      <c r="G11" s="22">
        <v>0.25</v>
      </c>
      <c r="H11" s="45">
        <f t="shared" si="4"/>
        <v>287500</v>
      </c>
      <c r="I11" s="45">
        <v>1300000</v>
      </c>
      <c r="J11" s="44">
        <f t="shared" si="5"/>
        <v>100395</v>
      </c>
      <c r="K11" s="44">
        <f t="shared" si="10"/>
        <v>585637.5</v>
      </c>
      <c r="L11" s="44">
        <f t="shared" si="6"/>
        <v>686032.5</v>
      </c>
      <c r="M11" s="44">
        <f t="shared" si="7"/>
        <v>50197.5</v>
      </c>
      <c r="N11" s="44">
        <f t="shared" si="8"/>
        <v>267720</v>
      </c>
      <c r="O11" s="44">
        <f t="shared" si="9"/>
        <v>317917.5</v>
      </c>
      <c r="P11" s="44"/>
      <c r="Q11" s="44"/>
      <c r="R11" s="44"/>
      <c r="S11" s="18"/>
      <c r="T11" s="18"/>
    </row>
    <row r="12" spans="1:20" ht="15.75">
      <c r="A12" s="21" t="s">
        <v>37</v>
      </c>
      <c r="B12" s="18" t="s">
        <v>111</v>
      </c>
      <c r="C12" s="22">
        <v>2.34</v>
      </c>
      <c r="D12" s="44">
        <f t="shared" si="2"/>
        <v>2691000</v>
      </c>
      <c r="E12" s="12"/>
      <c r="F12" s="45">
        <f t="shared" si="3"/>
        <v>0</v>
      </c>
      <c r="G12" s="22">
        <v>0.2</v>
      </c>
      <c r="H12" s="45">
        <f t="shared" si="4"/>
        <v>230000</v>
      </c>
      <c r="I12" s="45">
        <v>1300000</v>
      </c>
      <c r="J12" s="44">
        <f t="shared" si="5"/>
        <v>87630</v>
      </c>
      <c r="K12" s="44">
        <f t="shared" si="10"/>
        <v>511174.99999999994</v>
      </c>
      <c r="L12" s="44">
        <f t="shared" si="6"/>
        <v>598805</v>
      </c>
      <c r="M12" s="44">
        <f t="shared" si="7"/>
        <v>43815</v>
      </c>
      <c r="N12" s="44">
        <f t="shared" si="8"/>
        <v>233680</v>
      </c>
      <c r="O12" s="44">
        <f t="shared" si="9"/>
        <v>277495</v>
      </c>
      <c r="P12" s="44"/>
      <c r="Q12" s="44"/>
      <c r="R12" s="44"/>
      <c r="S12" s="18"/>
      <c r="T12" s="18"/>
    </row>
    <row r="13" spans="1:20" ht="15.75">
      <c r="A13" s="21" t="s">
        <v>38</v>
      </c>
      <c r="B13" s="18" t="s">
        <v>112</v>
      </c>
      <c r="C13" s="22">
        <v>3</v>
      </c>
      <c r="D13" s="44">
        <f t="shared" si="2"/>
        <v>3450000</v>
      </c>
      <c r="E13" s="12"/>
      <c r="F13" s="45">
        <f t="shared" si="3"/>
        <v>0</v>
      </c>
      <c r="G13" s="22"/>
      <c r="H13" s="45">
        <f t="shared" si="4"/>
        <v>0</v>
      </c>
      <c r="I13" s="45">
        <v>1300000</v>
      </c>
      <c r="J13" s="44">
        <f t="shared" si="5"/>
        <v>103500</v>
      </c>
      <c r="K13" s="44">
        <f t="shared" si="10"/>
        <v>603750</v>
      </c>
      <c r="L13" s="44">
        <f t="shared" si="6"/>
        <v>707250</v>
      </c>
      <c r="M13" s="44">
        <f t="shared" si="7"/>
        <v>51750</v>
      </c>
      <c r="N13" s="44">
        <f t="shared" si="8"/>
        <v>276000</v>
      </c>
      <c r="O13" s="44">
        <f t="shared" si="9"/>
        <v>327750</v>
      </c>
      <c r="P13" s="44"/>
      <c r="Q13" s="44"/>
      <c r="R13" s="44"/>
      <c r="S13" s="18"/>
      <c r="T13" s="18"/>
    </row>
    <row r="14" spans="1:20" ht="15.75">
      <c r="A14" s="21" t="s">
        <v>39</v>
      </c>
      <c r="B14" s="18" t="s">
        <v>113</v>
      </c>
      <c r="C14" s="22">
        <v>2.06</v>
      </c>
      <c r="D14" s="44">
        <f t="shared" si="2"/>
        <v>2369000</v>
      </c>
      <c r="E14" s="12"/>
      <c r="F14" s="45">
        <f t="shared" si="3"/>
        <v>0</v>
      </c>
      <c r="G14" s="22"/>
      <c r="H14" s="45">
        <f t="shared" si="4"/>
        <v>0</v>
      </c>
      <c r="I14" s="45">
        <v>1300000</v>
      </c>
      <c r="J14" s="44">
        <f t="shared" si="5"/>
        <v>71070</v>
      </c>
      <c r="K14" s="44">
        <f t="shared" si="10"/>
        <v>414575</v>
      </c>
      <c r="L14" s="44">
        <f t="shared" si="6"/>
        <v>485645</v>
      </c>
      <c r="M14" s="44">
        <f t="shared" si="7"/>
        <v>35535</v>
      </c>
      <c r="N14" s="44">
        <f t="shared" si="8"/>
        <v>189520</v>
      </c>
      <c r="O14" s="44">
        <f t="shared" si="9"/>
        <v>225055</v>
      </c>
      <c r="P14" s="44"/>
      <c r="Q14" s="44"/>
      <c r="R14" s="44"/>
      <c r="S14" s="18"/>
      <c r="T14" s="18"/>
    </row>
    <row r="15" spans="1:20" ht="15.75">
      <c r="A15" s="21" t="s">
        <v>40</v>
      </c>
      <c r="B15" s="18" t="s">
        <v>114</v>
      </c>
      <c r="C15" s="22">
        <v>2.86</v>
      </c>
      <c r="D15" s="44">
        <f t="shared" si="2"/>
        <v>3289000</v>
      </c>
      <c r="E15" s="12"/>
      <c r="F15" s="45">
        <f t="shared" si="3"/>
        <v>0</v>
      </c>
      <c r="G15" s="22"/>
      <c r="H15" s="45">
        <f t="shared" si="4"/>
        <v>0</v>
      </c>
      <c r="I15" s="45">
        <v>1300000</v>
      </c>
      <c r="J15" s="44">
        <f t="shared" si="5"/>
        <v>98670</v>
      </c>
      <c r="K15" s="44">
        <f t="shared" si="10"/>
        <v>575575</v>
      </c>
      <c r="L15" s="44">
        <f t="shared" si="6"/>
        <v>674245</v>
      </c>
      <c r="M15" s="44">
        <f t="shared" si="7"/>
        <v>49335</v>
      </c>
      <c r="N15" s="44">
        <f t="shared" si="8"/>
        <v>263120</v>
      </c>
      <c r="O15" s="44">
        <f t="shared" si="9"/>
        <v>312455</v>
      </c>
      <c r="P15" s="44"/>
      <c r="Q15" s="44"/>
      <c r="R15" s="44"/>
      <c r="S15" s="18"/>
      <c r="T15" s="18"/>
    </row>
    <row r="16" spans="1:20" ht="15.75">
      <c r="A16" s="21" t="s">
        <v>41</v>
      </c>
      <c r="B16" s="18" t="s">
        <v>115</v>
      </c>
      <c r="C16" s="22">
        <v>2.26</v>
      </c>
      <c r="D16" s="44">
        <f t="shared" si="2"/>
        <v>2598999.9999999995</v>
      </c>
      <c r="E16" s="12"/>
      <c r="F16" s="45">
        <f t="shared" si="3"/>
        <v>0</v>
      </c>
      <c r="G16" s="22"/>
      <c r="H16" s="45">
        <f t="shared" si="4"/>
        <v>0</v>
      </c>
      <c r="I16" s="45">
        <v>1300000</v>
      </c>
      <c r="J16" s="44">
        <f t="shared" si="5"/>
        <v>77969.99999999999</v>
      </c>
      <c r="K16" s="44">
        <f t="shared" si="10"/>
        <v>454824.9999999999</v>
      </c>
      <c r="L16" s="44">
        <f t="shared" si="6"/>
        <v>532794.9999999999</v>
      </c>
      <c r="M16" s="44">
        <f t="shared" si="7"/>
        <v>38984.99999999999</v>
      </c>
      <c r="N16" s="44">
        <f t="shared" si="8"/>
        <v>207919.99999999997</v>
      </c>
      <c r="O16" s="44">
        <f t="shared" si="9"/>
        <v>246904.99999999997</v>
      </c>
      <c r="P16" s="44"/>
      <c r="Q16" s="44"/>
      <c r="R16" s="44"/>
      <c r="S16" s="18"/>
      <c r="T16" s="18"/>
    </row>
    <row r="17" spans="1:20" ht="15.75">
      <c r="A17" s="21"/>
      <c r="B17" s="18"/>
      <c r="C17" s="22"/>
      <c r="D17" s="44">
        <f t="shared" si="2"/>
        <v>0</v>
      </c>
      <c r="E17" s="12"/>
      <c r="F17" s="45">
        <f t="shared" si="3"/>
        <v>0</v>
      </c>
      <c r="G17" s="22"/>
      <c r="H17" s="45">
        <f t="shared" si="4"/>
        <v>0</v>
      </c>
      <c r="I17" s="45">
        <v>1300000</v>
      </c>
      <c r="J17" s="44">
        <f t="shared" si="5"/>
        <v>0</v>
      </c>
      <c r="K17" s="44">
        <f t="shared" si="10"/>
        <v>0</v>
      </c>
      <c r="L17" s="44">
        <f t="shared" si="6"/>
        <v>0</v>
      </c>
      <c r="M17" s="44">
        <f t="shared" si="7"/>
        <v>0</v>
      </c>
      <c r="N17" s="44">
        <f t="shared" si="8"/>
        <v>0</v>
      </c>
      <c r="O17" s="44">
        <f t="shared" si="9"/>
        <v>0</v>
      </c>
      <c r="P17" s="44"/>
      <c r="Q17" s="44"/>
      <c r="R17" s="44"/>
      <c r="S17" s="18"/>
      <c r="T17" s="18"/>
    </row>
    <row r="18" spans="1:20" ht="15.75">
      <c r="A18" s="21">
        <v>9</v>
      </c>
      <c r="B18" s="18" t="s">
        <v>116</v>
      </c>
      <c r="C18" s="22">
        <v>2.26</v>
      </c>
      <c r="D18" s="44">
        <f t="shared" si="2"/>
        <v>2598999.9999999995</v>
      </c>
      <c r="E18" s="12"/>
      <c r="F18" s="45">
        <f t="shared" si="3"/>
        <v>0</v>
      </c>
      <c r="G18" s="22"/>
      <c r="H18" s="45">
        <f t="shared" si="4"/>
        <v>0</v>
      </c>
      <c r="I18" s="45">
        <v>1300000</v>
      </c>
      <c r="J18" s="44">
        <f t="shared" si="5"/>
        <v>77969.99999999999</v>
      </c>
      <c r="K18" s="44">
        <f t="shared" si="10"/>
        <v>454824.9999999999</v>
      </c>
      <c r="L18" s="44">
        <f t="shared" si="6"/>
        <v>532794.9999999999</v>
      </c>
      <c r="M18" s="44">
        <f t="shared" si="7"/>
        <v>38984.99999999999</v>
      </c>
      <c r="N18" s="44">
        <f t="shared" si="8"/>
        <v>207919.99999999997</v>
      </c>
      <c r="O18" s="44">
        <f t="shared" si="9"/>
        <v>246904.99999999997</v>
      </c>
      <c r="P18" s="44"/>
      <c r="Q18" s="44"/>
      <c r="R18" s="44"/>
      <c r="S18" s="18"/>
      <c r="T18" s="18"/>
    </row>
    <row r="19" spans="1:20" ht="15.75">
      <c r="A19" s="21">
        <v>10</v>
      </c>
      <c r="B19" s="18" t="s">
        <v>117</v>
      </c>
      <c r="C19" s="22">
        <v>2.46</v>
      </c>
      <c r="D19" s="44">
        <f t="shared" si="2"/>
        <v>2829000</v>
      </c>
      <c r="E19" s="12"/>
      <c r="F19" s="45">
        <f t="shared" si="3"/>
        <v>0</v>
      </c>
      <c r="G19" s="22"/>
      <c r="H19" s="45">
        <f t="shared" si="4"/>
        <v>0</v>
      </c>
      <c r="I19" s="45">
        <v>1300000</v>
      </c>
      <c r="J19" s="44">
        <f t="shared" si="5"/>
        <v>84870</v>
      </c>
      <c r="K19" s="44">
        <f t="shared" si="10"/>
        <v>495074.99999999994</v>
      </c>
      <c r="L19" s="44">
        <f t="shared" si="6"/>
        <v>579945</v>
      </c>
      <c r="M19" s="44">
        <f t="shared" si="7"/>
        <v>42435</v>
      </c>
      <c r="N19" s="44">
        <f t="shared" si="8"/>
        <v>226320</v>
      </c>
      <c r="O19" s="44">
        <f t="shared" si="9"/>
        <v>268755</v>
      </c>
      <c r="P19" s="44"/>
      <c r="Q19" s="44"/>
      <c r="R19" s="44"/>
      <c r="S19" s="18"/>
      <c r="T19" s="18"/>
    </row>
    <row r="20" spans="1:20" ht="15.75">
      <c r="A20" s="21">
        <v>11</v>
      </c>
      <c r="B20" s="18" t="s">
        <v>118</v>
      </c>
      <c r="C20" s="22">
        <v>2.26</v>
      </c>
      <c r="D20" s="44">
        <f t="shared" si="2"/>
        <v>2598999.9999999995</v>
      </c>
      <c r="E20" s="12"/>
      <c r="F20" s="45">
        <f t="shared" si="3"/>
        <v>0</v>
      </c>
      <c r="G20" s="22"/>
      <c r="H20" s="45">
        <f t="shared" si="4"/>
        <v>0</v>
      </c>
      <c r="I20" s="45">
        <v>1300000</v>
      </c>
      <c r="J20" s="44">
        <f t="shared" si="5"/>
        <v>77969.99999999999</v>
      </c>
      <c r="K20" s="44">
        <f t="shared" si="10"/>
        <v>454824.9999999999</v>
      </c>
      <c r="L20" s="44">
        <f t="shared" si="6"/>
        <v>532794.9999999999</v>
      </c>
      <c r="M20" s="44">
        <f t="shared" si="7"/>
        <v>38984.99999999999</v>
      </c>
      <c r="N20" s="44">
        <f t="shared" si="8"/>
        <v>207919.99999999997</v>
      </c>
      <c r="O20" s="44">
        <f t="shared" si="9"/>
        <v>246904.99999999997</v>
      </c>
      <c r="P20" s="44"/>
      <c r="Q20" s="44"/>
      <c r="R20" s="44"/>
      <c r="S20" s="18"/>
      <c r="T20" s="18"/>
    </row>
    <row r="21" spans="1:20" ht="15.75">
      <c r="A21" s="21">
        <v>12</v>
      </c>
      <c r="B21" s="18" t="s">
        <v>119</v>
      </c>
      <c r="C21" s="22">
        <v>2.06</v>
      </c>
      <c r="D21" s="44">
        <f t="shared" si="2"/>
        <v>2369000</v>
      </c>
      <c r="E21" s="12"/>
      <c r="F21" s="45">
        <f t="shared" si="3"/>
        <v>0</v>
      </c>
      <c r="G21" s="22"/>
      <c r="H21" s="45">
        <f t="shared" si="4"/>
        <v>0</v>
      </c>
      <c r="I21" s="45">
        <v>1300000</v>
      </c>
      <c r="J21" s="44">
        <f t="shared" si="5"/>
        <v>71070</v>
      </c>
      <c r="K21" s="44">
        <f t="shared" si="10"/>
        <v>414575</v>
      </c>
      <c r="L21" s="44">
        <f t="shared" si="6"/>
        <v>485645</v>
      </c>
      <c r="M21" s="44">
        <f t="shared" si="7"/>
        <v>35535</v>
      </c>
      <c r="N21" s="44">
        <f t="shared" si="8"/>
        <v>189520</v>
      </c>
      <c r="O21" s="44">
        <f t="shared" si="9"/>
        <v>225055</v>
      </c>
      <c r="P21" s="44"/>
      <c r="Q21" s="44"/>
      <c r="R21" s="44"/>
      <c r="S21" s="18"/>
      <c r="T21" s="18"/>
    </row>
    <row r="22" spans="1:20" ht="15.75">
      <c r="A22" s="21">
        <v>13</v>
      </c>
      <c r="B22" s="18" t="s">
        <v>219</v>
      </c>
      <c r="C22" s="22">
        <v>2.41</v>
      </c>
      <c r="D22" s="44">
        <f t="shared" si="2"/>
        <v>2771500</v>
      </c>
      <c r="E22" s="12"/>
      <c r="F22" s="45">
        <f t="shared" si="3"/>
        <v>0</v>
      </c>
      <c r="G22" s="22"/>
      <c r="H22" s="45">
        <f t="shared" si="4"/>
        <v>0</v>
      </c>
      <c r="I22" s="45">
        <v>1300000</v>
      </c>
      <c r="J22" s="44">
        <f>(D22+F22+H22)*3%</f>
        <v>83145</v>
      </c>
      <c r="K22" s="44">
        <f t="shared" si="10"/>
        <v>485012.49999999994</v>
      </c>
      <c r="L22" s="44">
        <f>J22+K22</f>
        <v>568157.5</v>
      </c>
      <c r="M22" s="44">
        <f>(D22+F22+H22)*1.5%</f>
        <v>41572.5</v>
      </c>
      <c r="N22" s="44">
        <f>(D22+F22+H22)*8%</f>
        <v>221720</v>
      </c>
      <c r="O22" s="44">
        <f>M22+N22</f>
        <v>263292.5</v>
      </c>
      <c r="P22" s="44"/>
      <c r="Q22" s="44"/>
      <c r="R22" s="44"/>
      <c r="S22" s="18"/>
      <c r="T22" s="18"/>
    </row>
    <row r="23" spans="1:20" ht="15.75">
      <c r="A23" s="21"/>
      <c r="B23" s="18"/>
      <c r="C23" s="22"/>
      <c r="D23" s="44"/>
      <c r="E23" s="12"/>
      <c r="F23" s="45"/>
      <c r="G23" s="22"/>
      <c r="H23" s="45"/>
      <c r="I23" s="45"/>
      <c r="J23" s="44"/>
      <c r="K23" s="44"/>
      <c r="L23" s="44"/>
      <c r="M23" s="44"/>
      <c r="N23" s="44"/>
      <c r="O23" s="44"/>
      <c r="P23" s="44"/>
      <c r="Q23" s="44"/>
      <c r="R23" s="44"/>
      <c r="S23" s="18"/>
      <c r="T23" s="18"/>
    </row>
    <row r="24" spans="1:20" ht="15.75">
      <c r="A24" s="21"/>
      <c r="B24" s="18"/>
      <c r="C24" s="22"/>
      <c r="D24" s="44"/>
      <c r="E24" s="12"/>
      <c r="F24" s="45"/>
      <c r="G24" s="22"/>
      <c r="H24" s="45"/>
      <c r="I24" s="45"/>
      <c r="J24" s="44"/>
      <c r="K24" s="44"/>
      <c r="L24" s="44"/>
      <c r="M24" s="44"/>
      <c r="N24" s="44"/>
      <c r="O24" s="44"/>
      <c r="P24" s="44"/>
      <c r="Q24" s="44"/>
      <c r="R24" s="44"/>
      <c r="S24" s="18"/>
      <c r="T24" s="18"/>
    </row>
    <row r="25" spans="1:20" ht="20.25" customHeight="1">
      <c r="A25" s="16"/>
      <c r="B25" s="19" t="s">
        <v>1</v>
      </c>
      <c r="C25" s="20">
        <v>1.86</v>
      </c>
      <c r="D25" s="46">
        <f>D26</f>
        <v>2139000</v>
      </c>
      <c r="E25" s="9">
        <f>E26</f>
        <v>0</v>
      </c>
      <c r="F25" s="9">
        <f>F26</f>
        <v>0</v>
      </c>
      <c r="G25" s="9">
        <f>G26</f>
        <v>0</v>
      </c>
      <c r="H25" s="46"/>
      <c r="I25" s="45">
        <v>1300000</v>
      </c>
      <c r="J25" s="46">
        <f aca="true" t="shared" si="11" ref="J25:O25">J26</f>
        <v>64170</v>
      </c>
      <c r="K25" s="46">
        <f t="shared" si="11"/>
        <v>374325</v>
      </c>
      <c r="L25" s="46">
        <f t="shared" si="11"/>
        <v>438495</v>
      </c>
      <c r="M25" s="46">
        <f t="shared" si="11"/>
        <v>32085</v>
      </c>
      <c r="N25" s="46">
        <f t="shared" si="11"/>
        <v>171120</v>
      </c>
      <c r="O25" s="46">
        <f t="shared" si="11"/>
        <v>203205</v>
      </c>
      <c r="P25" s="46"/>
      <c r="Q25" s="46"/>
      <c r="R25" s="46"/>
      <c r="S25" s="23"/>
      <c r="T25" s="23"/>
    </row>
    <row r="26" spans="1:20" ht="20.25" customHeight="1">
      <c r="A26" s="21">
        <v>14</v>
      </c>
      <c r="B26" s="1" t="s">
        <v>143</v>
      </c>
      <c r="C26" s="22">
        <v>1.86</v>
      </c>
      <c r="D26" s="44">
        <f>(C26*1150000)</f>
        <v>2139000</v>
      </c>
      <c r="E26" s="10"/>
      <c r="F26" s="9"/>
      <c r="G26" s="10"/>
      <c r="H26" s="46"/>
      <c r="I26" s="45">
        <v>1300000</v>
      </c>
      <c r="J26" s="44">
        <f>(D26+F26+H26)*3%</f>
        <v>64170</v>
      </c>
      <c r="K26" s="44">
        <f>(D26+F26+H26)*17.5%</f>
        <v>374325</v>
      </c>
      <c r="L26" s="44">
        <f>J26+K26</f>
        <v>438495</v>
      </c>
      <c r="M26" s="44">
        <f>(D26+F26+H26)*1.5%</f>
        <v>32085</v>
      </c>
      <c r="N26" s="44">
        <f>(D26+F26+H26)*8%</f>
        <v>171120</v>
      </c>
      <c r="O26" s="44">
        <f>M26+N26</f>
        <v>203205</v>
      </c>
      <c r="P26" s="44"/>
      <c r="Q26" s="44"/>
      <c r="R26" s="44"/>
      <c r="S26" s="23"/>
      <c r="T26" s="23"/>
    </row>
    <row r="27" spans="1:20" ht="20.25" customHeight="1">
      <c r="A27" s="16"/>
      <c r="B27" s="23" t="s">
        <v>25</v>
      </c>
      <c r="C27" s="24">
        <f>C28</f>
        <v>2.06</v>
      </c>
      <c r="D27" s="46">
        <f>D28</f>
        <v>2369000</v>
      </c>
      <c r="E27" s="11">
        <f>E28</f>
        <v>0</v>
      </c>
      <c r="F27" s="9"/>
      <c r="G27" s="11">
        <f>G28</f>
        <v>0</v>
      </c>
      <c r="H27" s="13">
        <f>H28</f>
        <v>0</v>
      </c>
      <c r="I27" s="45">
        <v>1300000</v>
      </c>
      <c r="J27" s="46">
        <f aca="true" t="shared" si="12" ref="J27:O27">J28</f>
        <v>71070</v>
      </c>
      <c r="K27" s="46">
        <f t="shared" si="12"/>
        <v>414575</v>
      </c>
      <c r="L27" s="46">
        <f t="shared" si="12"/>
        <v>485645</v>
      </c>
      <c r="M27" s="46">
        <f t="shared" si="12"/>
        <v>35535</v>
      </c>
      <c r="N27" s="46">
        <f t="shared" si="12"/>
        <v>189520</v>
      </c>
      <c r="O27" s="46">
        <f t="shared" si="12"/>
        <v>225055</v>
      </c>
      <c r="P27" s="46"/>
      <c r="Q27" s="46"/>
      <c r="R27" s="46"/>
      <c r="S27" s="23"/>
      <c r="T27" s="23"/>
    </row>
    <row r="28" spans="1:20" ht="20.25" customHeight="1">
      <c r="A28" s="16">
        <v>15</v>
      </c>
      <c r="B28" s="18" t="s">
        <v>121</v>
      </c>
      <c r="C28" s="22">
        <v>2.06</v>
      </c>
      <c r="D28" s="44">
        <f>(C28*1150000)</f>
        <v>2369000</v>
      </c>
      <c r="E28" s="12"/>
      <c r="F28" s="9"/>
      <c r="G28" s="22"/>
      <c r="H28" s="45"/>
      <c r="I28" s="45">
        <v>1300000</v>
      </c>
      <c r="J28" s="44">
        <f>(D28+F28+H28)*3%</f>
        <v>71070</v>
      </c>
      <c r="K28" s="44">
        <f>(D28+F28+H28)*17.5%</f>
        <v>414575</v>
      </c>
      <c r="L28" s="44">
        <f>J28+K28</f>
        <v>485645</v>
      </c>
      <c r="M28" s="44">
        <f>(D28+F28+H28)*1.5%</f>
        <v>35535</v>
      </c>
      <c r="N28" s="44">
        <f>(D28+F28+H28)*8%</f>
        <v>189520</v>
      </c>
      <c r="O28" s="44">
        <f>M28+N28</f>
        <v>225055</v>
      </c>
      <c r="P28" s="44"/>
      <c r="Q28" s="44"/>
      <c r="R28" s="44"/>
      <c r="S28" s="23"/>
      <c r="T28" s="23"/>
    </row>
    <row r="29" spans="1:20" ht="20.25" customHeight="1">
      <c r="A29" s="16"/>
      <c r="B29" s="23" t="s">
        <v>3</v>
      </c>
      <c r="C29" s="24">
        <f>C30</f>
        <v>1.86</v>
      </c>
      <c r="D29" s="46">
        <f>D30</f>
        <v>2139000</v>
      </c>
      <c r="E29" s="11">
        <f>E30</f>
        <v>0</v>
      </c>
      <c r="F29" s="9"/>
      <c r="G29" s="11">
        <f>G30</f>
        <v>0.15</v>
      </c>
      <c r="H29" s="13">
        <f>H30</f>
        <v>172500</v>
      </c>
      <c r="I29" s="45">
        <v>1300000</v>
      </c>
      <c r="J29" s="46">
        <f aca="true" t="shared" si="13" ref="J29:O29">J30</f>
        <v>69345</v>
      </c>
      <c r="K29" s="46">
        <f t="shared" si="13"/>
        <v>404512.5</v>
      </c>
      <c r="L29" s="46">
        <f t="shared" si="13"/>
        <v>473857.5</v>
      </c>
      <c r="M29" s="46">
        <f t="shared" si="13"/>
        <v>34672.5</v>
      </c>
      <c r="N29" s="46">
        <f t="shared" si="13"/>
        <v>184920</v>
      </c>
      <c r="O29" s="46">
        <f t="shared" si="13"/>
        <v>219592.5</v>
      </c>
      <c r="P29" s="46"/>
      <c r="Q29" s="46"/>
      <c r="R29" s="46"/>
      <c r="S29" s="23"/>
      <c r="T29" s="23"/>
    </row>
    <row r="30" spans="1:20" ht="20.25" customHeight="1">
      <c r="A30" s="16">
        <v>16</v>
      </c>
      <c r="B30" s="18" t="s">
        <v>144</v>
      </c>
      <c r="C30" s="22">
        <v>1.86</v>
      </c>
      <c r="D30" s="44">
        <f>(C30*1150000)</f>
        <v>2139000</v>
      </c>
      <c r="E30" s="12"/>
      <c r="F30" s="9"/>
      <c r="G30" s="22">
        <v>0.15</v>
      </c>
      <c r="H30" s="45">
        <f>(G30*1150000)</f>
        <v>172500</v>
      </c>
      <c r="I30" s="45">
        <v>1300000</v>
      </c>
      <c r="J30" s="44">
        <f>(D30+F30+H30)*3%</f>
        <v>69345</v>
      </c>
      <c r="K30" s="44">
        <f>(D30+F30+H30)*17.5%</f>
        <v>404512.5</v>
      </c>
      <c r="L30" s="44">
        <f>J30+K30</f>
        <v>473857.5</v>
      </c>
      <c r="M30" s="44">
        <f>(D30+F30+H30)*1.5%</f>
        <v>34672.5</v>
      </c>
      <c r="N30" s="44">
        <f>(D30+F30+H30)*8%</f>
        <v>184920</v>
      </c>
      <c r="O30" s="44">
        <f>M30+N30</f>
        <v>219592.5</v>
      </c>
      <c r="P30" s="44"/>
      <c r="Q30" s="44"/>
      <c r="R30" s="44"/>
      <c r="S30" s="23"/>
      <c r="T30" s="23"/>
    </row>
    <row r="31" spans="1:19" ht="15.75">
      <c r="A31" s="16"/>
      <c r="B31" s="23" t="s">
        <v>4</v>
      </c>
      <c r="C31" s="24">
        <f>C32</f>
        <v>2.25</v>
      </c>
      <c r="D31" s="46">
        <f>D32</f>
        <v>2587500</v>
      </c>
      <c r="E31" s="13">
        <f>E32</f>
        <v>0</v>
      </c>
      <c r="F31" s="9"/>
      <c r="G31" s="11">
        <f>G32</f>
        <v>0</v>
      </c>
      <c r="H31" s="13">
        <f>H32</f>
        <v>0</v>
      </c>
      <c r="I31" s="45">
        <v>1300000</v>
      </c>
      <c r="J31" s="46">
        <f aca="true" t="shared" si="14" ref="J31:O31">J32</f>
        <v>77625</v>
      </c>
      <c r="K31" s="46">
        <f t="shared" si="14"/>
        <v>452812.5</v>
      </c>
      <c r="L31" s="46">
        <f t="shared" si="14"/>
        <v>530437.5</v>
      </c>
      <c r="M31" s="46">
        <f t="shared" si="14"/>
        <v>38812.5</v>
      </c>
      <c r="N31" s="46">
        <f t="shared" si="14"/>
        <v>207000</v>
      </c>
      <c r="O31" s="46">
        <f t="shared" si="14"/>
        <v>245812.5</v>
      </c>
      <c r="P31" s="46"/>
      <c r="Q31" s="46"/>
      <c r="R31" s="46"/>
      <c r="S31" s="46"/>
    </row>
    <row r="32" spans="1:19" ht="15.75">
      <c r="A32" s="16">
        <v>17</v>
      </c>
      <c r="B32" s="18" t="s">
        <v>122</v>
      </c>
      <c r="C32" s="22">
        <v>2.25</v>
      </c>
      <c r="D32" s="44">
        <f>(C32*1150000)</f>
        <v>2587500</v>
      </c>
      <c r="E32" s="12"/>
      <c r="F32" s="9"/>
      <c r="G32" s="22"/>
      <c r="H32" s="45">
        <f>(G32*1150000)</f>
        <v>0</v>
      </c>
      <c r="I32" s="45">
        <v>1300000</v>
      </c>
      <c r="J32" s="44">
        <f>(D32+F32+H32)*3%</f>
        <v>77625</v>
      </c>
      <c r="K32" s="44">
        <f>(D32+F32+H32)*17.5%</f>
        <v>452812.5</v>
      </c>
      <c r="L32" s="44">
        <f>J32+K32</f>
        <v>530437.5</v>
      </c>
      <c r="M32" s="44">
        <f>(D32+F32+H32)*1.5%</f>
        <v>38812.5</v>
      </c>
      <c r="N32" s="44">
        <f>(D32+F32+H32)*8%</f>
        <v>207000</v>
      </c>
      <c r="O32" s="44">
        <f>M32+N32</f>
        <v>245812.5</v>
      </c>
      <c r="P32" s="44"/>
      <c r="Q32" s="44"/>
      <c r="R32" s="44"/>
      <c r="S32" s="44"/>
    </row>
    <row r="33" spans="1:20" ht="20.25" customHeight="1">
      <c r="A33" s="16"/>
      <c r="B33" s="23" t="s">
        <v>5</v>
      </c>
      <c r="C33" s="24">
        <f>C34</f>
        <v>1.86</v>
      </c>
      <c r="D33" s="46">
        <f>D34</f>
        <v>2139000</v>
      </c>
      <c r="E33" s="13">
        <f>E34</f>
        <v>0</v>
      </c>
      <c r="F33" s="9"/>
      <c r="G33" s="11">
        <f>G34</f>
        <v>0.15</v>
      </c>
      <c r="H33" s="13">
        <f>H34</f>
        <v>172500</v>
      </c>
      <c r="I33" s="45">
        <v>1300000</v>
      </c>
      <c r="J33" s="42">
        <f aca="true" t="shared" si="15" ref="J33:O33">J34</f>
        <v>69345</v>
      </c>
      <c r="K33" s="42">
        <f t="shared" si="15"/>
        <v>404512.5</v>
      </c>
      <c r="L33" s="42">
        <f t="shared" si="15"/>
        <v>473857.5</v>
      </c>
      <c r="M33" s="42">
        <f t="shared" si="15"/>
        <v>34672.5</v>
      </c>
      <c r="N33" s="42">
        <f t="shared" si="15"/>
        <v>184920</v>
      </c>
      <c r="O33" s="42">
        <f t="shared" si="15"/>
        <v>219592.5</v>
      </c>
      <c r="P33" s="42"/>
      <c r="Q33" s="42"/>
      <c r="R33" s="42"/>
      <c r="S33" s="23"/>
      <c r="T33" s="23"/>
    </row>
    <row r="34" spans="1:20" ht="20.25" customHeight="1">
      <c r="A34" s="16">
        <v>18</v>
      </c>
      <c r="B34" s="18" t="s">
        <v>133</v>
      </c>
      <c r="C34" s="22">
        <v>1.86</v>
      </c>
      <c r="D34" s="44">
        <f>(C34*1150000)</f>
        <v>2139000</v>
      </c>
      <c r="E34" s="10"/>
      <c r="F34" s="9"/>
      <c r="G34" s="22">
        <v>0.15</v>
      </c>
      <c r="H34" s="45">
        <f>(G34*1150000)</f>
        <v>172500</v>
      </c>
      <c r="I34" s="45">
        <v>1300000</v>
      </c>
      <c r="J34" s="44">
        <f>(D34+F34+H34)*3%</f>
        <v>69345</v>
      </c>
      <c r="K34" s="44">
        <f>(D34+F34+H34)*17.5%</f>
        <v>404512.5</v>
      </c>
      <c r="L34" s="44">
        <f>J34+K34</f>
        <v>473857.5</v>
      </c>
      <c r="M34" s="44">
        <f>(D34+F34+H34)*1.5%</f>
        <v>34672.5</v>
      </c>
      <c r="N34" s="44">
        <f>(D34+F34+H34)*8%</f>
        <v>184920</v>
      </c>
      <c r="O34" s="44">
        <f>M34+N34</f>
        <v>219592.5</v>
      </c>
      <c r="P34" s="44"/>
      <c r="Q34" s="44"/>
      <c r="R34" s="44"/>
      <c r="S34" s="23"/>
      <c r="T34" s="23"/>
    </row>
    <row r="35" spans="1:20" ht="20.25" customHeight="1">
      <c r="A35" s="16"/>
      <c r="B35" s="23" t="s">
        <v>6</v>
      </c>
      <c r="C35" s="25">
        <f>C36</f>
        <v>2.25</v>
      </c>
      <c r="D35" s="46">
        <f>D36</f>
        <v>2587500</v>
      </c>
      <c r="E35" s="13">
        <f>E36</f>
        <v>0</v>
      </c>
      <c r="F35" s="9"/>
      <c r="G35" s="13">
        <f>G36</f>
        <v>0</v>
      </c>
      <c r="H35" s="46"/>
      <c r="I35" s="45">
        <v>1300000</v>
      </c>
      <c r="J35" s="46">
        <f aca="true" t="shared" si="16" ref="J35:O35">J36</f>
        <v>77625</v>
      </c>
      <c r="K35" s="46">
        <f t="shared" si="16"/>
        <v>452812.5</v>
      </c>
      <c r="L35" s="46">
        <f t="shared" si="16"/>
        <v>530437.5</v>
      </c>
      <c r="M35" s="46">
        <f t="shared" si="16"/>
        <v>38812.5</v>
      </c>
      <c r="N35" s="46">
        <f t="shared" si="16"/>
        <v>207000</v>
      </c>
      <c r="O35" s="46">
        <f t="shared" si="16"/>
        <v>245812.5</v>
      </c>
      <c r="P35" s="46"/>
      <c r="Q35" s="46"/>
      <c r="R35" s="46"/>
      <c r="S35" s="23"/>
      <c r="T35" s="23"/>
    </row>
    <row r="36" spans="1:20" ht="20.25" customHeight="1">
      <c r="A36" s="16">
        <v>19</v>
      </c>
      <c r="B36" s="18" t="s">
        <v>124</v>
      </c>
      <c r="C36" s="22">
        <v>2.25</v>
      </c>
      <c r="D36" s="44">
        <f>(C36*1150000)</f>
        <v>2587500</v>
      </c>
      <c r="E36" s="10"/>
      <c r="F36" s="9"/>
      <c r="G36" s="10"/>
      <c r="H36" s="46"/>
      <c r="I36" s="45">
        <v>1300000</v>
      </c>
      <c r="J36" s="44">
        <f>(D36+F36+H36)*3%</f>
        <v>77625</v>
      </c>
      <c r="K36" s="44">
        <f>(D36+F36+H36)*17.5%</f>
        <v>452812.5</v>
      </c>
      <c r="L36" s="44">
        <f>J36+K36</f>
        <v>530437.5</v>
      </c>
      <c r="M36" s="44">
        <f>(D36+F36+H36)*1.5%</f>
        <v>38812.5</v>
      </c>
      <c r="N36" s="44">
        <f>(D36+F36+H36)*8%</f>
        <v>207000</v>
      </c>
      <c r="O36" s="44">
        <f>M36+N36</f>
        <v>245812.5</v>
      </c>
      <c r="P36" s="44"/>
      <c r="Q36" s="44"/>
      <c r="R36" s="44"/>
      <c r="S36" s="23"/>
      <c r="T36" s="23"/>
    </row>
    <row r="37" spans="1:20" ht="20.25" customHeight="1">
      <c r="A37" s="16"/>
      <c r="B37" s="23" t="s">
        <v>2</v>
      </c>
      <c r="C37" s="25">
        <f aca="true" t="shared" si="17" ref="C37:H37">C38+C39</f>
        <v>2.86</v>
      </c>
      <c r="D37" s="46">
        <f t="shared" si="17"/>
        <v>3289000</v>
      </c>
      <c r="E37" s="11">
        <f t="shared" si="17"/>
        <v>0</v>
      </c>
      <c r="F37" s="46">
        <f t="shared" si="17"/>
        <v>0</v>
      </c>
      <c r="G37" s="11">
        <f t="shared" si="17"/>
        <v>0.3</v>
      </c>
      <c r="H37" s="13">
        <f t="shared" si="17"/>
        <v>345000</v>
      </c>
      <c r="I37" s="45">
        <v>1300000</v>
      </c>
      <c r="J37" s="46">
        <f aca="true" t="shared" si="18" ref="J37:O37">J38+J39</f>
        <v>109020</v>
      </c>
      <c r="K37" s="46">
        <f t="shared" si="18"/>
        <v>635950</v>
      </c>
      <c r="L37" s="46">
        <f t="shared" si="18"/>
        <v>744970</v>
      </c>
      <c r="M37" s="46">
        <f t="shared" si="18"/>
        <v>54510</v>
      </c>
      <c r="N37" s="46">
        <f t="shared" si="18"/>
        <v>290720</v>
      </c>
      <c r="O37" s="46">
        <f t="shared" si="18"/>
        <v>345230</v>
      </c>
      <c r="P37" s="46"/>
      <c r="Q37" s="46"/>
      <c r="R37" s="46"/>
      <c r="S37" s="23"/>
      <c r="T37" s="23"/>
    </row>
    <row r="38" spans="1:19" ht="20.25" customHeight="1">
      <c r="A38" s="16"/>
      <c r="B38" s="18"/>
      <c r="C38" s="22"/>
      <c r="D38" s="44">
        <f>C38*1150000</f>
        <v>0</v>
      </c>
      <c r="E38" s="12"/>
      <c r="F38" s="45"/>
      <c r="G38" s="22"/>
      <c r="H38" s="45">
        <f>(G38*1150000)</f>
        <v>0</v>
      </c>
      <c r="I38" s="45"/>
      <c r="J38" s="44">
        <f>(D38+F38+H38)*3%</f>
        <v>0</v>
      </c>
      <c r="K38" s="44">
        <f>(D38+F38+H38)*18%</f>
        <v>0</v>
      </c>
      <c r="L38" s="44">
        <f>J38+K38</f>
        <v>0</v>
      </c>
      <c r="M38" s="44">
        <f>(D38+F38+H38)*1.5%</f>
        <v>0</v>
      </c>
      <c r="N38" s="44">
        <f>(D38+F38+H38)*8%</f>
        <v>0</v>
      </c>
      <c r="O38" s="44">
        <f>M38+N38</f>
        <v>0</v>
      </c>
      <c r="P38" s="44"/>
      <c r="Q38" s="44"/>
      <c r="R38" s="44"/>
      <c r="S38" s="44"/>
    </row>
    <row r="39" spans="1:19" ht="20.25" customHeight="1">
      <c r="A39" s="16">
        <v>20</v>
      </c>
      <c r="B39" s="18" t="s">
        <v>145</v>
      </c>
      <c r="C39" s="22">
        <v>2.86</v>
      </c>
      <c r="D39" s="44">
        <f>C39*1150000</f>
        <v>3289000</v>
      </c>
      <c r="E39" s="12"/>
      <c r="F39" s="9"/>
      <c r="G39" s="22">
        <v>0.3</v>
      </c>
      <c r="H39" s="45">
        <f>(G39*1150000)</f>
        <v>345000</v>
      </c>
      <c r="I39" s="45">
        <v>1300000</v>
      </c>
      <c r="J39" s="44">
        <f>(D39+F39+H39)*3%</f>
        <v>109020</v>
      </c>
      <c r="K39" s="44">
        <f>(D39+F39+H39)*17.5%</f>
        <v>635950</v>
      </c>
      <c r="L39" s="44">
        <f>J39+K39</f>
        <v>744970</v>
      </c>
      <c r="M39" s="44">
        <f>(D39+F39+H39)*1.5%</f>
        <v>54510</v>
      </c>
      <c r="N39" s="44">
        <f>(D39+F39+H39)*8%</f>
        <v>290720</v>
      </c>
      <c r="O39" s="44">
        <f>M39+N39</f>
        <v>345230</v>
      </c>
      <c r="P39" s="44"/>
      <c r="Q39" s="44"/>
      <c r="R39" s="44"/>
      <c r="S39" s="44"/>
    </row>
    <row r="40" spans="1:20" ht="20.25" customHeight="1">
      <c r="A40" s="23"/>
      <c r="B40" s="23" t="s">
        <v>12</v>
      </c>
      <c r="C40" s="27">
        <f>C41</f>
        <v>2.45</v>
      </c>
      <c r="D40" s="46">
        <f>D41</f>
        <v>2817500</v>
      </c>
      <c r="E40" s="29">
        <f>E41</f>
        <v>0</v>
      </c>
      <c r="F40" s="29">
        <f>F41</f>
        <v>0</v>
      </c>
      <c r="G40" s="29">
        <f>G41</f>
        <v>0</v>
      </c>
      <c r="H40" s="46"/>
      <c r="I40" s="45">
        <v>1300000</v>
      </c>
      <c r="J40" s="46">
        <f aca="true" t="shared" si="19" ref="J40:O40">J41</f>
        <v>84525</v>
      </c>
      <c r="K40" s="46">
        <f t="shared" si="19"/>
        <v>493062.49999999994</v>
      </c>
      <c r="L40" s="46">
        <f t="shared" si="19"/>
        <v>577587.5</v>
      </c>
      <c r="M40" s="46">
        <f t="shared" si="19"/>
        <v>42262.5</v>
      </c>
      <c r="N40" s="46">
        <f t="shared" si="19"/>
        <v>225400</v>
      </c>
      <c r="O40" s="46">
        <f t="shared" si="19"/>
        <v>267662.5</v>
      </c>
      <c r="P40" s="46"/>
      <c r="Q40" s="46"/>
      <c r="R40" s="46"/>
      <c r="S40" s="23"/>
      <c r="T40" s="23"/>
    </row>
    <row r="41" spans="1:20" ht="20.25" customHeight="1">
      <c r="A41" s="16">
        <v>21</v>
      </c>
      <c r="B41" s="18" t="s">
        <v>125</v>
      </c>
      <c r="C41" s="26">
        <v>2.45</v>
      </c>
      <c r="D41" s="44">
        <f>(C41*1150000)</f>
        <v>2817500</v>
      </c>
      <c r="E41" s="14"/>
      <c r="F41" s="9"/>
      <c r="G41" s="14"/>
      <c r="H41" s="46"/>
      <c r="I41" s="45">
        <v>1300000</v>
      </c>
      <c r="J41" s="44">
        <f>(D41+F41+H41)*3%</f>
        <v>84525</v>
      </c>
      <c r="K41" s="44">
        <f>(D41+F41+H41)*17.5%</f>
        <v>493062.49999999994</v>
      </c>
      <c r="L41" s="44">
        <f>J41+K41</f>
        <v>577587.5</v>
      </c>
      <c r="M41" s="44">
        <f>(D41+F41+H41)*1.5%</f>
        <v>42262.5</v>
      </c>
      <c r="N41" s="44">
        <f>(D41+F41+H41)*8%</f>
        <v>225400</v>
      </c>
      <c r="O41" s="44">
        <f>M41+N41</f>
        <v>267662.5</v>
      </c>
      <c r="P41" s="44"/>
      <c r="Q41" s="44"/>
      <c r="R41" s="44"/>
      <c r="S41" s="23"/>
      <c r="T41" s="23"/>
    </row>
    <row r="42" spans="1:20" ht="20.25" customHeight="1">
      <c r="A42" s="16"/>
      <c r="B42" s="23" t="s">
        <v>13</v>
      </c>
      <c r="C42" s="8">
        <f>C8+C26+C27+C29+C31+C33+C35+C37+C40</f>
        <v>49</v>
      </c>
      <c r="D42" s="28">
        <f>D8+D25+D27+D29+D31+D33+D35+D37+D40</f>
        <v>56350000</v>
      </c>
      <c r="E42" s="8">
        <f>E8+E25+E27+E29+E31+E33+E35+E37+E40</f>
        <v>0</v>
      </c>
      <c r="F42" s="28">
        <f>F8+F25+F27+F29+F31+F33+F35+F37+F40</f>
        <v>0</v>
      </c>
      <c r="G42" s="8">
        <f>G8+G25+G27+G29+G31+G33+G35+G37+G40</f>
        <v>1.4999999999999998</v>
      </c>
      <c r="H42" s="28">
        <f>H8+H25+H27+H29+H31+H33+H35+H37+H40</f>
        <v>1725000</v>
      </c>
      <c r="I42" s="28"/>
      <c r="J42" s="28">
        <f aca="true" t="shared" si="20" ref="J42:O42">J8+J25+J27+J29+J31+J33+J35+J37+J40</f>
        <v>1742250</v>
      </c>
      <c r="K42" s="28">
        <f t="shared" si="20"/>
        <v>10163125</v>
      </c>
      <c r="L42" s="28">
        <f t="shared" si="20"/>
        <v>11905375</v>
      </c>
      <c r="M42" s="28">
        <f t="shared" si="20"/>
        <v>871125</v>
      </c>
      <c r="N42" s="28">
        <f t="shared" si="20"/>
        <v>4646000</v>
      </c>
      <c r="O42" s="28">
        <f t="shared" si="20"/>
        <v>5517125</v>
      </c>
      <c r="P42" s="28"/>
      <c r="Q42" s="28"/>
      <c r="R42" s="28"/>
      <c r="S42" s="18"/>
      <c r="T42" s="18"/>
    </row>
    <row r="43" spans="3:15" ht="15.75">
      <c r="C43" s="47">
        <f>C8+C37+D45</f>
        <v>49.279999999999994</v>
      </c>
      <c r="D43" s="36">
        <f>C41+C36+C34+C32+C30</f>
        <v>10.67</v>
      </c>
      <c r="E43" s="48"/>
      <c r="J43" s="156"/>
      <c r="K43" s="156"/>
      <c r="L43" s="52"/>
      <c r="M43" s="156"/>
      <c r="N43" s="156"/>
      <c r="O43" s="58"/>
    </row>
    <row r="44" spans="1:15" ht="15.75">
      <c r="A44" s="158"/>
      <c r="B44" s="158"/>
      <c r="C44" s="8">
        <f>C8+C25+C37+D43+C27</f>
        <v>49</v>
      </c>
      <c r="D44" s="36">
        <f>0.7*6</f>
        <v>4.199999999999999</v>
      </c>
      <c r="E44" s="36"/>
      <c r="F44" s="5"/>
      <c r="G44" s="5"/>
      <c r="H44" s="5"/>
      <c r="I44" s="5"/>
      <c r="J44" s="158"/>
      <c r="K44" s="158"/>
      <c r="L44" s="53"/>
      <c r="M44" s="158"/>
      <c r="N44" s="158"/>
      <c r="O44" s="59"/>
    </row>
    <row r="45" spans="4:6" ht="17.25">
      <c r="D45" s="49">
        <f>SUM(D43:D44)</f>
        <v>14.87</v>
      </c>
      <c r="E45" s="36">
        <f>13.68</f>
        <v>13.68</v>
      </c>
      <c r="F45" s="38">
        <f>D45-E45</f>
        <v>1.1899999999999995</v>
      </c>
    </row>
    <row r="47" ht="15.75">
      <c r="D47" s="6">
        <v>2.76</v>
      </c>
    </row>
    <row r="48" ht="15.75">
      <c r="D48" s="6">
        <v>2.56</v>
      </c>
    </row>
    <row r="49" ht="15.75">
      <c r="D49" s="6">
        <v>2.56</v>
      </c>
    </row>
    <row r="50" ht="15.75">
      <c r="D50" s="6">
        <v>2.45</v>
      </c>
    </row>
    <row r="51" ht="15.75">
      <c r="D51" s="6">
        <v>3.35</v>
      </c>
    </row>
    <row r="53" ht="15.75">
      <c r="D53" s="50">
        <f>SUM(D47:D52)</f>
        <v>13.680000000000001</v>
      </c>
    </row>
  </sheetData>
  <sheetProtection/>
  <mergeCells count="24">
    <mergeCell ref="M43:N43"/>
    <mergeCell ref="G4:H4"/>
    <mergeCell ref="A44:B44"/>
    <mergeCell ref="J44:K44"/>
    <mergeCell ref="M44:N44"/>
    <mergeCell ref="J43:K43"/>
    <mergeCell ref="T4:T6"/>
    <mergeCell ref="C5:C6"/>
    <mergeCell ref="M4:O5"/>
    <mergeCell ref="D5:D6"/>
    <mergeCell ref="E5:F5"/>
    <mergeCell ref="G5:H5"/>
    <mergeCell ref="J4:L5"/>
    <mergeCell ref="I4:I6"/>
    <mergeCell ref="A1:T1"/>
    <mergeCell ref="P4:P6"/>
    <mergeCell ref="Q4:Q6"/>
    <mergeCell ref="R4:R6"/>
    <mergeCell ref="S4:S6"/>
    <mergeCell ref="A2:T2"/>
    <mergeCell ref="A4:A6"/>
    <mergeCell ref="B4:B6"/>
    <mergeCell ref="C4:D4"/>
    <mergeCell ref="E4:F4"/>
  </mergeCells>
  <printOptions horizontalCentered="1"/>
  <pageMargins left="0.25" right="0.25" top="0.5" bottom="0.5" header="0.39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view="pageBreakPreview" zoomScale="90" zoomScaleNormal="90" zoomScaleSheetLayoutView="90" zoomScalePageLayoutView="0" workbookViewId="0" topLeftCell="A1">
      <selection activeCell="K42" sqref="K42"/>
    </sheetView>
  </sheetViews>
  <sheetFormatPr defaultColWidth="9.00390625" defaultRowHeight="15.75"/>
  <cols>
    <col min="1" max="1" width="3.50390625" style="6" customWidth="1"/>
    <col min="2" max="2" width="15.875" style="6" customWidth="1"/>
    <col min="3" max="3" width="8.00390625" style="6" customWidth="1"/>
    <col min="4" max="4" width="10.875" style="6" customWidth="1"/>
    <col min="5" max="5" width="6.00390625" style="7" customWidth="1"/>
    <col min="6" max="6" width="8.75390625" style="6" customWidth="1"/>
    <col min="7" max="7" width="6.625" style="7" customWidth="1"/>
    <col min="8" max="9" width="9.625" style="6" customWidth="1"/>
    <col min="10" max="10" width="11.125" style="6" customWidth="1"/>
    <col min="11" max="11" width="11.375" style="6" customWidth="1"/>
    <col min="12" max="12" width="11.125" style="51" customWidth="1"/>
    <col min="13" max="13" width="11.00390625" style="6" customWidth="1"/>
    <col min="14" max="14" width="11.50390625" style="6" customWidth="1"/>
    <col min="15" max="15" width="11.00390625" style="56" customWidth="1"/>
    <col min="16" max="16" width="10.875" style="6" customWidth="1"/>
    <col min="17" max="17" width="8.50390625" style="6" customWidth="1"/>
    <col min="18" max="19" width="11.00390625" style="6" customWidth="1"/>
    <col min="20" max="20" width="10.375" style="6" customWidth="1"/>
    <col min="21" max="21" width="11.125" style="6" bestFit="1" customWidth="1"/>
    <col min="22" max="16384" width="9.00390625" style="6" customWidth="1"/>
  </cols>
  <sheetData>
    <row r="1" spans="1:22" ht="21.75" customHeight="1">
      <c r="A1" s="158" t="s">
        <v>106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37"/>
      <c r="V1" s="37"/>
    </row>
    <row r="2" spans="1:20" ht="16.5" customHeight="1">
      <c r="A2" s="158" t="s">
        <v>207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15" ht="15.75">
      <c r="A3" s="6" t="s">
        <v>53</v>
      </c>
      <c r="D3" s="38"/>
      <c r="E3" s="39"/>
      <c r="F3" s="40"/>
      <c r="L3" s="6"/>
      <c r="O3" s="6"/>
    </row>
    <row r="4" spans="1:20" ht="15.75" customHeight="1">
      <c r="A4" s="171" t="s">
        <v>14</v>
      </c>
      <c r="B4" s="171" t="s">
        <v>24</v>
      </c>
      <c r="C4" s="174" t="s">
        <v>7</v>
      </c>
      <c r="D4" s="175"/>
      <c r="E4" s="157"/>
      <c r="F4" s="157"/>
      <c r="G4" s="157"/>
      <c r="H4" s="157"/>
      <c r="I4" s="159" t="s">
        <v>31</v>
      </c>
      <c r="J4" s="162" t="s">
        <v>22</v>
      </c>
      <c r="K4" s="163"/>
      <c r="L4" s="164"/>
      <c r="M4" s="162" t="s">
        <v>21</v>
      </c>
      <c r="N4" s="163"/>
      <c r="O4" s="164"/>
      <c r="P4" s="159" t="s">
        <v>29</v>
      </c>
      <c r="Q4" s="159" t="s">
        <v>30</v>
      </c>
      <c r="R4" s="159" t="s">
        <v>32</v>
      </c>
      <c r="S4" s="159" t="s">
        <v>33</v>
      </c>
      <c r="T4" s="159" t="s">
        <v>16</v>
      </c>
    </row>
    <row r="5" spans="1:20" ht="30" customHeight="1">
      <c r="A5" s="172"/>
      <c r="B5" s="172"/>
      <c r="C5" s="159" t="s">
        <v>9</v>
      </c>
      <c r="D5" s="159" t="s">
        <v>8</v>
      </c>
      <c r="E5" s="168" t="s">
        <v>23</v>
      </c>
      <c r="F5" s="169"/>
      <c r="G5" s="168" t="s">
        <v>10</v>
      </c>
      <c r="H5" s="170"/>
      <c r="I5" s="160"/>
      <c r="J5" s="165"/>
      <c r="K5" s="166"/>
      <c r="L5" s="167"/>
      <c r="M5" s="165"/>
      <c r="N5" s="166"/>
      <c r="O5" s="167"/>
      <c r="P5" s="160"/>
      <c r="Q5" s="160"/>
      <c r="R5" s="160"/>
      <c r="S5" s="160"/>
      <c r="T5" s="160"/>
    </row>
    <row r="6" spans="1:20" ht="79.5" customHeight="1">
      <c r="A6" s="173"/>
      <c r="B6" s="173"/>
      <c r="C6" s="161"/>
      <c r="D6" s="161"/>
      <c r="E6" s="2" t="s">
        <v>11</v>
      </c>
      <c r="F6" s="2" t="s">
        <v>8</v>
      </c>
      <c r="G6" s="2" t="s">
        <v>11</v>
      </c>
      <c r="H6" s="30" t="s">
        <v>8</v>
      </c>
      <c r="I6" s="161"/>
      <c r="J6" s="3" t="s">
        <v>17</v>
      </c>
      <c r="K6" s="3" t="s">
        <v>222</v>
      </c>
      <c r="L6" s="4" t="s">
        <v>13</v>
      </c>
      <c r="M6" s="3" t="s">
        <v>18</v>
      </c>
      <c r="N6" s="3" t="s">
        <v>19</v>
      </c>
      <c r="O6" s="57" t="s">
        <v>13</v>
      </c>
      <c r="P6" s="160"/>
      <c r="Q6" s="161"/>
      <c r="R6" s="161"/>
      <c r="S6" s="161"/>
      <c r="T6" s="161"/>
    </row>
    <row r="7" spans="1:20" ht="18.75" customHeight="1">
      <c r="A7" s="54" t="s">
        <v>34</v>
      </c>
      <c r="B7" s="54" t="s">
        <v>35</v>
      </c>
      <c r="C7" s="54" t="s">
        <v>36</v>
      </c>
      <c r="D7" s="54" t="s">
        <v>37</v>
      </c>
      <c r="E7" s="54" t="s">
        <v>38</v>
      </c>
      <c r="F7" s="54" t="s">
        <v>39</v>
      </c>
      <c r="G7" s="54" t="s">
        <v>40</v>
      </c>
      <c r="H7" s="54" t="s">
        <v>41</v>
      </c>
      <c r="I7" s="54" t="s">
        <v>42</v>
      </c>
      <c r="J7" s="55" t="s">
        <v>43</v>
      </c>
      <c r="K7" s="55" t="s">
        <v>44</v>
      </c>
      <c r="L7" s="55" t="s">
        <v>45</v>
      </c>
      <c r="M7" s="55" t="s">
        <v>46</v>
      </c>
      <c r="N7" s="55" t="s">
        <v>47</v>
      </c>
      <c r="O7" s="55" t="s">
        <v>48</v>
      </c>
      <c r="P7" s="55" t="s">
        <v>15</v>
      </c>
      <c r="Q7" s="54" t="s">
        <v>49</v>
      </c>
      <c r="R7" s="54" t="s">
        <v>50</v>
      </c>
      <c r="S7" s="54" t="s">
        <v>51</v>
      </c>
      <c r="T7" s="54" t="s">
        <v>52</v>
      </c>
    </row>
    <row r="8" spans="1:20" ht="15.75">
      <c r="A8" s="16"/>
      <c r="B8" s="17" t="s">
        <v>0</v>
      </c>
      <c r="C8" s="41">
        <f aca="true" t="shared" si="0" ref="C8:H8">SUM(C9:C24)</f>
        <v>31.809999999999995</v>
      </c>
      <c r="D8" s="42">
        <f t="shared" si="0"/>
        <v>41353000</v>
      </c>
      <c r="E8" s="64">
        <f t="shared" si="0"/>
        <v>0</v>
      </c>
      <c r="F8" s="42">
        <f t="shared" si="0"/>
        <v>0</v>
      </c>
      <c r="G8" s="15">
        <f t="shared" si="0"/>
        <v>0.8999999999999999</v>
      </c>
      <c r="H8" s="9">
        <f t="shared" si="0"/>
        <v>1170000</v>
      </c>
      <c r="I8" s="9"/>
      <c r="J8" s="42">
        <f aca="true" t="shared" si="1" ref="J8:O8">SUM(J9:J24)</f>
        <v>1275690</v>
      </c>
      <c r="K8" s="42">
        <f t="shared" si="1"/>
        <v>7441525</v>
      </c>
      <c r="L8" s="42">
        <f t="shared" si="1"/>
        <v>8717215</v>
      </c>
      <c r="M8" s="42">
        <f t="shared" si="1"/>
        <v>637845</v>
      </c>
      <c r="N8" s="42">
        <f t="shared" si="1"/>
        <v>3401840</v>
      </c>
      <c r="O8" s="42">
        <f t="shared" si="1"/>
        <v>4039685</v>
      </c>
      <c r="P8" s="42"/>
      <c r="Q8" s="42"/>
      <c r="R8" s="42"/>
      <c r="S8" s="43"/>
      <c r="T8" s="16"/>
    </row>
    <row r="9" spans="1:20" ht="15.75">
      <c r="A9" s="21" t="s">
        <v>34</v>
      </c>
      <c r="B9" s="1" t="s">
        <v>108</v>
      </c>
      <c r="C9" s="22">
        <v>2.46</v>
      </c>
      <c r="D9" s="44">
        <f>C9*I9</f>
        <v>3198000</v>
      </c>
      <c r="E9" s="78"/>
      <c r="F9" s="45">
        <f>E9*I9</f>
        <v>0</v>
      </c>
      <c r="G9" s="22">
        <v>0.25</v>
      </c>
      <c r="H9" s="45">
        <f>G9*I9</f>
        <v>325000</v>
      </c>
      <c r="I9" s="45">
        <v>1300000</v>
      </c>
      <c r="J9" s="44">
        <f aca="true" t="shared" si="2" ref="J9:J21">(D9+F9+H9)*3%</f>
        <v>105690</v>
      </c>
      <c r="K9" s="44">
        <f>(D9+F9+H9)*17.5%</f>
        <v>616525</v>
      </c>
      <c r="L9" s="44">
        <f aca="true" t="shared" si="3" ref="L9:L21">J9+K9</f>
        <v>722215</v>
      </c>
      <c r="M9" s="44">
        <f aca="true" t="shared" si="4" ref="M9:M21">(D9+F9+H9)*1.5%</f>
        <v>52845</v>
      </c>
      <c r="N9" s="44">
        <f aca="true" t="shared" si="5" ref="N9:N21">(D9+F9+H9)*8%</f>
        <v>281840</v>
      </c>
      <c r="O9" s="44">
        <f aca="true" t="shared" si="6" ref="O9:O21">M9+N9</f>
        <v>334685</v>
      </c>
      <c r="P9" s="44"/>
      <c r="Q9" s="44"/>
      <c r="R9" s="44"/>
      <c r="S9" s="16"/>
      <c r="T9" s="16"/>
    </row>
    <row r="10" spans="1:20" ht="15.75">
      <c r="A10" s="21" t="s">
        <v>35</v>
      </c>
      <c r="B10" s="18" t="s">
        <v>109</v>
      </c>
      <c r="C10" s="22">
        <v>2.46</v>
      </c>
      <c r="D10" s="44">
        <f aca="true" t="shared" si="7" ref="D10:D22">C10*I10</f>
        <v>3198000</v>
      </c>
      <c r="E10" s="12"/>
      <c r="F10" s="45">
        <f aca="true" t="shared" si="8" ref="F10:F22">(E10*1150000)</f>
        <v>0</v>
      </c>
      <c r="G10" s="22">
        <v>0.2</v>
      </c>
      <c r="H10" s="45">
        <f>G10*I10</f>
        <v>260000</v>
      </c>
      <c r="I10" s="45">
        <v>1300000</v>
      </c>
      <c r="J10" s="44">
        <f t="shared" si="2"/>
        <v>103740</v>
      </c>
      <c r="K10" s="44">
        <f aca="true" t="shared" si="9" ref="K10:K21">(D10+F10+H10)*17.5%</f>
        <v>605150</v>
      </c>
      <c r="L10" s="44">
        <f t="shared" si="3"/>
        <v>708890</v>
      </c>
      <c r="M10" s="44">
        <f t="shared" si="4"/>
        <v>51870</v>
      </c>
      <c r="N10" s="44">
        <f t="shared" si="5"/>
        <v>276640</v>
      </c>
      <c r="O10" s="44">
        <f t="shared" si="6"/>
        <v>328510</v>
      </c>
      <c r="P10" s="44"/>
      <c r="Q10" s="44"/>
      <c r="R10" s="44"/>
      <c r="S10" s="18"/>
      <c r="T10" s="18"/>
    </row>
    <row r="11" spans="1:20" ht="15.75">
      <c r="A11" s="21" t="s">
        <v>36</v>
      </c>
      <c r="B11" s="18" t="s">
        <v>110</v>
      </c>
      <c r="C11" s="22">
        <v>2.66</v>
      </c>
      <c r="D11" s="44">
        <f t="shared" si="7"/>
        <v>3458000</v>
      </c>
      <c r="E11" s="22"/>
      <c r="F11" s="45">
        <f t="shared" si="8"/>
        <v>0</v>
      </c>
      <c r="G11" s="22">
        <v>0.25</v>
      </c>
      <c r="H11" s="45">
        <f>G11*I11</f>
        <v>325000</v>
      </c>
      <c r="I11" s="45">
        <v>1300000</v>
      </c>
      <c r="J11" s="44">
        <f t="shared" si="2"/>
        <v>113490</v>
      </c>
      <c r="K11" s="44">
        <f t="shared" si="9"/>
        <v>662025</v>
      </c>
      <c r="L11" s="44">
        <f t="shared" si="3"/>
        <v>775515</v>
      </c>
      <c r="M11" s="44">
        <f t="shared" si="4"/>
        <v>56745</v>
      </c>
      <c r="N11" s="44">
        <f t="shared" si="5"/>
        <v>302640</v>
      </c>
      <c r="O11" s="44">
        <f t="shared" si="6"/>
        <v>359385</v>
      </c>
      <c r="P11" s="44"/>
      <c r="Q11" s="44"/>
      <c r="R11" s="44"/>
      <c r="S11" s="18"/>
      <c r="T11" s="18"/>
    </row>
    <row r="12" spans="1:20" ht="15.75">
      <c r="A12" s="21" t="s">
        <v>37</v>
      </c>
      <c r="B12" s="18" t="s">
        <v>111</v>
      </c>
      <c r="C12" s="22">
        <v>2.34</v>
      </c>
      <c r="D12" s="44">
        <f t="shared" si="7"/>
        <v>3042000</v>
      </c>
      <c r="E12" s="12"/>
      <c r="F12" s="45">
        <f t="shared" si="8"/>
        <v>0</v>
      </c>
      <c r="G12" s="22">
        <v>0.2</v>
      </c>
      <c r="H12" s="45">
        <f>G12*I12</f>
        <v>260000</v>
      </c>
      <c r="I12" s="45">
        <v>1300000</v>
      </c>
      <c r="J12" s="44">
        <f t="shared" si="2"/>
        <v>99060</v>
      </c>
      <c r="K12" s="44">
        <f t="shared" si="9"/>
        <v>577850</v>
      </c>
      <c r="L12" s="44">
        <f t="shared" si="3"/>
        <v>676910</v>
      </c>
      <c r="M12" s="44">
        <f t="shared" si="4"/>
        <v>49530</v>
      </c>
      <c r="N12" s="44">
        <f t="shared" si="5"/>
        <v>264160</v>
      </c>
      <c r="O12" s="44">
        <f t="shared" si="6"/>
        <v>313690</v>
      </c>
      <c r="P12" s="44"/>
      <c r="Q12" s="44"/>
      <c r="R12" s="44"/>
      <c r="S12" s="18"/>
      <c r="T12" s="18"/>
    </row>
    <row r="13" spans="1:20" ht="15.75">
      <c r="A13" s="21" t="s">
        <v>38</v>
      </c>
      <c r="B13" s="18" t="s">
        <v>112</v>
      </c>
      <c r="C13" s="22">
        <v>3</v>
      </c>
      <c r="D13" s="44">
        <f t="shared" si="7"/>
        <v>3900000</v>
      </c>
      <c r="E13" s="12"/>
      <c r="F13" s="45">
        <f t="shared" si="8"/>
        <v>0</v>
      </c>
      <c r="G13" s="22"/>
      <c r="H13" s="45">
        <f>G13*I13</f>
        <v>0</v>
      </c>
      <c r="I13" s="45">
        <v>1300000</v>
      </c>
      <c r="J13" s="44">
        <f t="shared" si="2"/>
        <v>117000</v>
      </c>
      <c r="K13" s="44">
        <f t="shared" si="9"/>
        <v>682500</v>
      </c>
      <c r="L13" s="44">
        <f t="shared" si="3"/>
        <v>799500</v>
      </c>
      <c r="M13" s="44">
        <f t="shared" si="4"/>
        <v>58500</v>
      </c>
      <c r="N13" s="44">
        <f t="shared" si="5"/>
        <v>312000</v>
      </c>
      <c r="O13" s="44">
        <f t="shared" si="6"/>
        <v>370500</v>
      </c>
      <c r="P13" s="44"/>
      <c r="Q13" s="44"/>
      <c r="R13" s="44"/>
      <c r="S13" s="18"/>
      <c r="T13" s="18"/>
    </row>
    <row r="14" spans="1:20" ht="15.75">
      <c r="A14" s="21" t="s">
        <v>39</v>
      </c>
      <c r="B14" s="18" t="s">
        <v>113</v>
      </c>
      <c r="C14" s="22">
        <v>2.06</v>
      </c>
      <c r="D14" s="44">
        <f t="shared" si="7"/>
        <v>2678000</v>
      </c>
      <c r="E14" s="12"/>
      <c r="F14" s="45">
        <f t="shared" si="8"/>
        <v>0</v>
      </c>
      <c r="G14" s="22"/>
      <c r="H14" s="45">
        <f aca="true" t="shared" si="10" ref="H14:H22">(G14*1150000)</f>
        <v>0</v>
      </c>
      <c r="I14" s="45">
        <v>1300000</v>
      </c>
      <c r="J14" s="44">
        <f t="shared" si="2"/>
        <v>80340</v>
      </c>
      <c r="K14" s="44">
        <f t="shared" si="9"/>
        <v>468649.99999999994</v>
      </c>
      <c r="L14" s="44">
        <f t="shared" si="3"/>
        <v>548990</v>
      </c>
      <c r="M14" s="44">
        <f t="shared" si="4"/>
        <v>40170</v>
      </c>
      <c r="N14" s="44">
        <f t="shared" si="5"/>
        <v>214240</v>
      </c>
      <c r="O14" s="44">
        <f t="shared" si="6"/>
        <v>254410</v>
      </c>
      <c r="P14" s="44"/>
      <c r="Q14" s="44"/>
      <c r="R14" s="44"/>
      <c r="S14" s="18"/>
      <c r="T14" s="18"/>
    </row>
    <row r="15" spans="1:20" ht="15.75">
      <c r="A15" s="21" t="s">
        <v>40</v>
      </c>
      <c r="B15" s="18" t="s">
        <v>114</v>
      </c>
      <c r="C15" s="22">
        <v>2.86</v>
      </c>
      <c r="D15" s="44">
        <f t="shared" si="7"/>
        <v>3718000</v>
      </c>
      <c r="E15" s="12"/>
      <c r="F15" s="45">
        <f t="shared" si="8"/>
        <v>0</v>
      </c>
      <c r="G15" s="22"/>
      <c r="H15" s="45">
        <f t="shared" si="10"/>
        <v>0</v>
      </c>
      <c r="I15" s="45">
        <v>1300000</v>
      </c>
      <c r="J15" s="44">
        <f t="shared" si="2"/>
        <v>111540</v>
      </c>
      <c r="K15" s="44">
        <f t="shared" si="9"/>
        <v>650650</v>
      </c>
      <c r="L15" s="44">
        <f t="shared" si="3"/>
        <v>762190</v>
      </c>
      <c r="M15" s="44">
        <f t="shared" si="4"/>
        <v>55770</v>
      </c>
      <c r="N15" s="44">
        <f t="shared" si="5"/>
        <v>297440</v>
      </c>
      <c r="O15" s="44">
        <f t="shared" si="6"/>
        <v>353210</v>
      </c>
      <c r="P15" s="44"/>
      <c r="Q15" s="44"/>
      <c r="R15" s="44"/>
      <c r="S15" s="18"/>
      <c r="T15" s="18"/>
    </row>
    <row r="16" spans="1:20" ht="15.75">
      <c r="A16" s="21" t="s">
        <v>41</v>
      </c>
      <c r="B16" s="18" t="s">
        <v>115</v>
      </c>
      <c r="C16" s="22">
        <v>2.26</v>
      </c>
      <c r="D16" s="44">
        <f t="shared" si="7"/>
        <v>2937999.9999999995</v>
      </c>
      <c r="E16" s="12"/>
      <c r="F16" s="45">
        <f t="shared" si="8"/>
        <v>0</v>
      </c>
      <c r="G16" s="22"/>
      <c r="H16" s="45">
        <f t="shared" si="10"/>
        <v>0</v>
      </c>
      <c r="I16" s="45">
        <v>1300000</v>
      </c>
      <c r="J16" s="44">
        <f t="shared" si="2"/>
        <v>88139.99999999999</v>
      </c>
      <c r="K16" s="44">
        <f t="shared" si="9"/>
        <v>514149.9999999999</v>
      </c>
      <c r="L16" s="44">
        <f t="shared" si="3"/>
        <v>602289.9999999999</v>
      </c>
      <c r="M16" s="44">
        <f t="shared" si="4"/>
        <v>44069.99999999999</v>
      </c>
      <c r="N16" s="44">
        <f t="shared" si="5"/>
        <v>235039.99999999997</v>
      </c>
      <c r="O16" s="44">
        <f t="shared" si="6"/>
        <v>279109.99999999994</v>
      </c>
      <c r="P16" s="44"/>
      <c r="Q16" s="44"/>
      <c r="R16" s="44"/>
      <c r="S16" s="18"/>
      <c r="T16" s="18"/>
    </row>
    <row r="17" spans="1:20" ht="15.75">
      <c r="A17" s="21"/>
      <c r="B17" s="18"/>
      <c r="C17" s="22"/>
      <c r="D17" s="44">
        <f t="shared" si="7"/>
        <v>0</v>
      </c>
      <c r="E17" s="12"/>
      <c r="F17" s="45">
        <f t="shared" si="8"/>
        <v>0</v>
      </c>
      <c r="G17" s="22"/>
      <c r="H17" s="45">
        <f t="shared" si="10"/>
        <v>0</v>
      </c>
      <c r="I17" s="45">
        <v>1300000</v>
      </c>
      <c r="J17" s="44">
        <f t="shared" si="2"/>
        <v>0</v>
      </c>
      <c r="K17" s="44">
        <f t="shared" si="9"/>
        <v>0</v>
      </c>
      <c r="L17" s="44">
        <f t="shared" si="3"/>
        <v>0</v>
      </c>
      <c r="M17" s="44">
        <f t="shared" si="4"/>
        <v>0</v>
      </c>
      <c r="N17" s="44">
        <f t="shared" si="5"/>
        <v>0</v>
      </c>
      <c r="O17" s="44">
        <f t="shared" si="6"/>
        <v>0</v>
      </c>
      <c r="P17" s="44"/>
      <c r="Q17" s="44"/>
      <c r="R17" s="44"/>
      <c r="S17" s="18"/>
      <c r="T17" s="18"/>
    </row>
    <row r="18" spans="1:20" ht="15.75">
      <c r="A18" s="21">
        <v>9</v>
      </c>
      <c r="B18" s="18" t="s">
        <v>116</v>
      </c>
      <c r="C18" s="22">
        <v>2.26</v>
      </c>
      <c r="D18" s="44">
        <f t="shared" si="7"/>
        <v>2937999.9999999995</v>
      </c>
      <c r="E18" s="12"/>
      <c r="F18" s="45">
        <f t="shared" si="8"/>
        <v>0</v>
      </c>
      <c r="G18" s="22"/>
      <c r="H18" s="45">
        <f t="shared" si="10"/>
        <v>0</v>
      </c>
      <c r="I18" s="45">
        <v>1300000</v>
      </c>
      <c r="J18" s="44">
        <f t="shared" si="2"/>
        <v>88139.99999999999</v>
      </c>
      <c r="K18" s="44">
        <f t="shared" si="9"/>
        <v>514149.9999999999</v>
      </c>
      <c r="L18" s="44">
        <f t="shared" si="3"/>
        <v>602289.9999999999</v>
      </c>
      <c r="M18" s="44">
        <f t="shared" si="4"/>
        <v>44069.99999999999</v>
      </c>
      <c r="N18" s="44">
        <f t="shared" si="5"/>
        <v>235039.99999999997</v>
      </c>
      <c r="O18" s="44">
        <f t="shared" si="6"/>
        <v>279109.99999999994</v>
      </c>
      <c r="P18" s="44"/>
      <c r="Q18" s="44"/>
      <c r="R18" s="44"/>
      <c r="S18" s="18"/>
      <c r="T18" s="18"/>
    </row>
    <row r="19" spans="1:20" ht="15.75">
      <c r="A19" s="21">
        <v>10</v>
      </c>
      <c r="B19" s="18" t="s">
        <v>117</v>
      </c>
      <c r="C19" s="22">
        <v>2.46</v>
      </c>
      <c r="D19" s="44">
        <f t="shared" si="7"/>
        <v>3198000</v>
      </c>
      <c r="E19" s="12"/>
      <c r="F19" s="45">
        <f t="shared" si="8"/>
        <v>0</v>
      </c>
      <c r="G19" s="22"/>
      <c r="H19" s="45">
        <f t="shared" si="10"/>
        <v>0</v>
      </c>
      <c r="I19" s="45">
        <v>1300000</v>
      </c>
      <c r="J19" s="44">
        <f t="shared" si="2"/>
        <v>95940</v>
      </c>
      <c r="K19" s="44">
        <f t="shared" si="9"/>
        <v>559650</v>
      </c>
      <c r="L19" s="44">
        <f t="shared" si="3"/>
        <v>655590</v>
      </c>
      <c r="M19" s="44">
        <f t="shared" si="4"/>
        <v>47970</v>
      </c>
      <c r="N19" s="44">
        <f t="shared" si="5"/>
        <v>255840</v>
      </c>
      <c r="O19" s="44">
        <f t="shared" si="6"/>
        <v>303810</v>
      </c>
      <c r="P19" s="44"/>
      <c r="Q19" s="44"/>
      <c r="R19" s="44"/>
      <c r="S19" s="18"/>
      <c r="T19" s="18"/>
    </row>
    <row r="20" spans="1:20" ht="15.75">
      <c r="A20" s="21">
        <v>11</v>
      </c>
      <c r="B20" s="18" t="s">
        <v>118</v>
      </c>
      <c r="C20" s="22">
        <v>2.26</v>
      </c>
      <c r="D20" s="44">
        <f t="shared" si="7"/>
        <v>2937999.9999999995</v>
      </c>
      <c r="E20" s="12"/>
      <c r="F20" s="45">
        <f t="shared" si="8"/>
        <v>0</v>
      </c>
      <c r="G20" s="22"/>
      <c r="H20" s="45">
        <f t="shared" si="10"/>
        <v>0</v>
      </c>
      <c r="I20" s="45">
        <v>1300000</v>
      </c>
      <c r="J20" s="44">
        <f t="shared" si="2"/>
        <v>88139.99999999999</v>
      </c>
      <c r="K20" s="44">
        <f t="shared" si="9"/>
        <v>514149.9999999999</v>
      </c>
      <c r="L20" s="44">
        <f t="shared" si="3"/>
        <v>602289.9999999999</v>
      </c>
      <c r="M20" s="44">
        <f t="shared" si="4"/>
        <v>44069.99999999999</v>
      </c>
      <c r="N20" s="44">
        <f t="shared" si="5"/>
        <v>235039.99999999997</v>
      </c>
      <c r="O20" s="44">
        <f t="shared" si="6"/>
        <v>279109.99999999994</v>
      </c>
      <c r="P20" s="44"/>
      <c r="Q20" s="44"/>
      <c r="R20" s="44"/>
      <c r="S20" s="18"/>
      <c r="T20" s="18"/>
    </row>
    <row r="21" spans="1:20" ht="15.75">
      <c r="A21" s="21">
        <v>12</v>
      </c>
      <c r="B21" s="18" t="s">
        <v>119</v>
      </c>
      <c r="C21" s="22">
        <v>2.06</v>
      </c>
      <c r="D21" s="44">
        <f t="shared" si="7"/>
        <v>2678000</v>
      </c>
      <c r="E21" s="12"/>
      <c r="F21" s="45">
        <f t="shared" si="8"/>
        <v>0</v>
      </c>
      <c r="G21" s="22"/>
      <c r="H21" s="45">
        <f t="shared" si="10"/>
        <v>0</v>
      </c>
      <c r="I21" s="45">
        <v>1300000</v>
      </c>
      <c r="J21" s="44">
        <f t="shared" si="2"/>
        <v>80340</v>
      </c>
      <c r="K21" s="44">
        <f t="shared" si="9"/>
        <v>468649.99999999994</v>
      </c>
      <c r="L21" s="44">
        <f t="shared" si="3"/>
        <v>548990</v>
      </c>
      <c r="M21" s="44">
        <f t="shared" si="4"/>
        <v>40170</v>
      </c>
      <c r="N21" s="44">
        <f t="shared" si="5"/>
        <v>214240</v>
      </c>
      <c r="O21" s="44">
        <f t="shared" si="6"/>
        <v>254410</v>
      </c>
      <c r="P21" s="44"/>
      <c r="Q21" s="44"/>
      <c r="R21" s="44"/>
      <c r="S21" s="18"/>
      <c r="T21" s="18"/>
    </row>
    <row r="22" spans="1:20" s="105" customFormat="1" ht="15.75">
      <c r="A22" s="100">
        <v>13</v>
      </c>
      <c r="B22" s="101" t="s">
        <v>219</v>
      </c>
      <c r="C22" s="102">
        <v>2.67</v>
      </c>
      <c r="D22" s="103">
        <f t="shared" si="7"/>
        <v>3471000</v>
      </c>
      <c r="E22" s="106"/>
      <c r="F22" s="104">
        <f t="shared" si="8"/>
        <v>0</v>
      </c>
      <c r="G22" s="102"/>
      <c r="H22" s="104">
        <f t="shared" si="10"/>
        <v>0</v>
      </c>
      <c r="I22" s="104">
        <v>1300000</v>
      </c>
      <c r="J22" s="103">
        <f>(D22+F22+H22)*3%</f>
        <v>104130</v>
      </c>
      <c r="K22" s="103">
        <f>(D22+F22+H22)*17.5%</f>
        <v>607425</v>
      </c>
      <c r="L22" s="103">
        <f>J22+K22</f>
        <v>711555</v>
      </c>
      <c r="M22" s="103">
        <f>(D22+F22+H22)*1.5%</f>
        <v>52065</v>
      </c>
      <c r="N22" s="103">
        <f>(D22+F22+H22)*8%</f>
        <v>277680</v>
      </c>
      <c r="O22" s="103">
        <f>M22+N22</f>
        <v>329745</v>
      </c>
      <c r="P22" s="103"/>
      <c r="Q22" s="103"/>
      <c r="R22" s="103"/>
      <c r="S22" s="101"/>
      <c r="T22" s="101"/>
    </row>
    <row r="23" spans="1:20" ht="15.75">
      <c r="A23" s="21"/>
      <c r="B23" s="18"/>
      <c r="C23" s="22"/>
      <c r="D23" s="44"/>
      <c r="E23" s="12"/>
      <c r="F23" s="45"/>
      <c r="G23" s="22"/>
      <c r="H23" s="45"/>
      <c r="I23" s="45"/>
      <c r="J23" s="44"/>
      <c r="K23" s="44"/>
      <c r="L23" s="44"/>
      <c r="M23" s="44"/>
      <c r="N23" s="44"/>
      <c r="O23" s="44"/>
      <c r="P23" s="44"/>
      <c r="Q23" s="44"/>
      <c r="R23" s="44"/>
      <c r="S23" s="18"/>
      <c r="T23" s="18"/>
    </row>
    <row r="24" spans="1:20" ht="15.75">
      <c r="A24" s="21"/>
      <c r="B24" s="18"/>
      <c r="C24" s="22"/>
      <c r="D24" s="44"/>
      <c r="E24" s="12"/>
      <c r="F24" s="45"/>
      <c r="G24" s="22"/>
      <c r="H24" s="45"/>
      <c r="I24" s="45"/>
      <c r="J24" s="44"/>
      <c r="K24" s="44"/>
      <c r="L24" s="44"/>
      <c r="M24" s="44"/>
      <c r="N24" s="44"/>
      <c r="O24" s="44"/>
      <c r="P24" s="44"/>
      <c r="Q24" s="44"/>
      <c r="R24" s="44"/>
      <c r="S24" s="18"/>
      <c r="T24" s="18"/>
    </row>
    <row r="25" spans="1:20" ht="20.25" customHeight="1">
      <c r="A25" s="16"/>
      <c r="B25" s="19" t="s">
        <v>1</v>
      </c>
      <c r="C25" s="20">
        <v>1.86</v>
      </c>
      <c r="D25" s="46">
        <f>D26</f>
        <v>2139000</v>
      </c>
      <c r="E25" s="9">
        <f>E26</f>
        <v>0</v>
      </c>
      <c r="F25" s="9">
        <f>F26</f>
        <v>0</v>
      </c>
      <c r="G25" s="9">
        <f>G26</f>
        <v>0</v>
      </c>
      <c r="H25" s="46"/>
      <c r="I25" s="45">
        <v>1300000</v>
      </c>
      <c r="J25" s="46">
        <f aca="true" t="shared" si="11" ref="J25:O25">J26</f>
        <v>64170</v>
      </c>
      <c r="K25" s="46">
        <f t="shared" si="11"/>
        <v>374325</v>
      </c>
      <c r="L25" s="46">
        <f t="shared" si="11"/>
        <v>438495</v>
      </c>
      <c r="M25" s="46">
        <f t="shared" si="11"/>
        <v>32085</v>
      </c>
      <c r="N25" s="46">
        <f t="shared" si="11"/>
        <v>171120</v>
      </c>
      <c r="O25" s="46">
        <f t="shared" si="11"/>
        <v>203205</v>
      </c>
      <c r="P25" s="46"/>
      <c r="Q25" s="46"/>
      <c r="R25" s="46"/>
      <c r="S25" s="23"/>
      <c r="T25" s="23"/>
    </row>
    <row r="26" spans="1:20" ht="20.25" customHeight="1">
      <c r="A26" s="21">
        <v>14</v>
      </c>
      <c r="B26" s="1" t="s">
        <v>143</v>
      </c>
      <c r="C26" s="22">
        <v>1.86</v>
      </c>
      <c r="D26" s="44">
        <f>(C26*1150000)</f>
        <v>2139000</v>
      </c>
      <c r="E26" s="10"/>
      <c r="F26" s="9"/>
      <c r="G26" s="10"/>
      <c r="H26" s="46"/>
      <c r="I26" s="45">
        <v>1300000</v>
      </c>
      <c r="J26" s="44">
        <f>(D26+F26+H26)*3%</f>
        <v>64170</v>
      </c>
      <c r="K26" s="44">
        <f>(D26+F26+H26)*17.5%</f>
        <v>374325</v>
      </c>
      <c r="L26" s="44">
        <f>J26+K26</f>
        <v>438495</v>
      </c>
      <c r="M26" s="44">
        <f>(D26+F26+H26)*1.5%</f>
        <v>32085</v>
      </c>
      <c r="N26" s="44">
        <f>(D26+F26+H26)*8%</f>
        <v>171120</v>
      </c>
      <c r="O26" s="44">
        <f>M26+N26</f>
        <v>203205</v>
      </c>
      <c r="P26" s="44"/>
      <c r="Q26" s="44"/>
      <c r="R26" s="44"/>
      <c r="S26" s="23"/>
      <c r="T26" s="23"/>
    </row>
    <row r="27" spans="1:20" ht="20.25" customHeight="1">
      <c r="A27" s="16"/>
      <c r="B27" s="23" t="s">
        <v>25</v>
      </c>
      <c r="C27" s="24">
        <f>C28</f>
        <v>2.06</v>
      </c>
      <c r="D27" s="46">
        <f>D28</f>
        <v>2678000</v>
      </c>
      <c r="E27" s="11">
        <f>E28</f>
        <v>0</v>
      </c>
      <c r="F27" s="9"/>
      <c r="G27" s="11">
        <f>G28</f>
        <v>0</v>
      </c>
      <c r="H27" s="13">
        <f>H28</f>
        <v>0</v>
      </c>
      <c r="I27" s="45">
        <v>1300000</v>
      </c>
      <c r="J27" s="46">
        <f aca="true" t="shared" si="12" ref="J27:O27">J28</f>
        <v>80340</v>
      </c>
      <c r="K27" s="46">
        <f t="shared" si="12"/>
        <v>468649.99999999994</v>
      </c>
      <c r="L27" s="46">
        <f t="shared" si="12"/>
        <v>548990</v>
      </c>
      <c r="M27" s="46">
        <f t="shared" si="12"/>
        <v>40170</v>
      </c>
      <c r="N27" s="46">
        <f t="shared" si="12"/>
        <v>214240</v>
      </c>
      <c r="O27" s="46">
        <f t="shared" si="12"/>
        <v>254410</v>
      </c>
      <c r="P27" s="46"/>
      <c r="Q27" s="46"/>
      <c r="R27" s="46"/>
      <c r="S27" s="23"/>
      <c r="T27" s="23"/>
    </row>
    <row r="28" spans="1:20" ht="20.25" customHeight="1">
      <c r="A28" s="16">
        <v>15</v>
      </c>
      <c r="B28" s="18" t="s">
        <v>121</v>
      </c>
      <c r="C28" s="22">
        <v>2.06</v>
      </c>
      <c r="D28" s="44">
        <f>C28*I28</f>
        <v>2678000</v>
      </c>
      <c r="E28" s="12"/>
      <c r="F28" s="9"/>
      <c r="G28" s="22"/>
      <c r="H28" s="45"/>
      <c r="I28" s="45">
        <v>1300000</v>
      </c>
      <c r="J28" s="44">
        <f>(D28+F28+H28)*3%</f>
        <v>80340</v>
      </c>
      <c r="K28" s="44">
        <f>(D28+F28+H28)*17.5%</f>
        <v>468649.99999999994</v>
      </c>
      <c r="L28" s="44">
        <f>J28+K28</f>
        <v>548990</v>
      </c>
      <c r="M28" s="44">
        <f>(D28+F28+H28)*1.5%</f>
        <v>40170</v>
      </c>
      <c r="N28" s="44">
        <f>(D28+F28+H28)*8%</f>
        <v>214240</v>
      </c>
      <c r="O28" s="44">
        <f>M28+N28</f>
        <v>254410</v>
      </c>
      <c r="P28" s="44"/>
      <c r="Q28" s="44"/>
      <c r="R28" s="44"/>
      <c r="S28" s="23"/>
      <c r="T28" s="23"/>
    </row>
    <row r="29" spans="1:20" ht="20.25" customHeight="1">
      <c r="A29" s="16"/>
      <c r="B29" s="23" t="s">
        <v>3</v>
      </c>
      <c r="C29" s="24">
        <f>C30</f>
        <v>1.86</v>
      </c>
      <c r="D29" s="46">
        <f>D30</f>
        <v>2139000</v>
      </c>
      <c r="E29" s="11">
        <f>E30</f>
        <v>0</v>
      </c>
      <c r="F29" s="9"/>
      <c r="G29" s="11">
        <f>G30</f>
        <v>0.15</v>
      </c>
      <c r="H29" s="13">
        <f>H30</f>
        <v>172500</v>
      </c>
      <c r="I29" s="45">
        <v>1300000</v>
      </c>
      <c r="J29" s="46">
        <f aca="true" t="shared" si="13" ref="J29:O29">J30</f>
        <v>69345</v>
      </c>
      <c r="K29" s="46">
        <f t="shared" si="13"/>
        <v>404512.5</v>
      </c>
      <c r="L29" s="46">
        <f t="shared" si="13"/>
        <v>473857.5</v>
      </c>
      <c r="M29" s="46">
        <f t="shared" si="13"/>
        <v>34672.5</v>
      </c>
      <c r="N29" s="46">
        <f t="shared" si="13"/>
        <v>184920</v>
      </c>
      <c r="O29" s="46">
        <f t="shared" si="13"/>
        <v>219592.5</v>
      </c>
      <c r="P29" s="46"/>
      <c r="Q29" s="46"/>
      <c r="R29" s="46"/>
      <c r="S29" s="23"/>
      <c r="T29" s="23"/>
    </row>
    <row r="30" spans="1:20" ht="20.25" customHeight="1">
      <c r="A30" s="16">
        <v>16</v>
      </c>
      <c r="B30" s="18" t="s">
        <v>144</v>
      </c>
      <c r="C30" s="22">
        <v>1.86</v>
      </c>
      <c r="D30" s="44">
        <f>(C30*1150000)</f>
        <v>2139000</v>
      </c>
      <c r="E30" s="12"/>
      <c r="F30" s="9"/>
      <c r="G30" s="22">
        <v>0.15</v>
      </c>
      <c r="H30" s="45">
        <f>(G30*1150000)</f>
        <v>172500</v>
      </c>
      <c r="I30" s="45">
        <v>1300000</v>
      </c>
      <c r="J30" s="44">
        <f>(D30+F30+H30)*3%</f>
        <v>69345</v>
      </c>
      <c r="K30" s="44">
        <f>(D30+F30+H30)*17.5%</f>
        <v>404512.5</v>
      </c>
      <c r="L30" s="44">
        <f>J30+K30</f>
        <v>473857.5</v>
      </c>
      <c r="M30" s="44">
        <f>(D30+F30+H30)*1.5%</f>
        <v>34672.5</v>
      </c>
      <c r="N30" s="44">
        <f>(D30+F30+H30)*8%</f>
        <v>184920</v>
      </c>
      <c r="O30" s="44">
        <f>M30+N30</f>
        <v>219592.5</v>
      </c>
      <c r="P30" s="44"/>
      <c r="Q30" s="44"/>
      <c r="R30" s="44"/>
      <c r="S30" s="23"/>
      <c r="T30" s="23"/>
    </row>
    <row r="31" spans="1:19" ht="15.75">
      <c r="A31" s="16"/>
      <c r="B31" s="23" t="s">
        <v>4</v>
      </c>
      <c r="C31" s="24">
        <f>C32</f>
        <v>2.25</v>
      </c>
      <c r="D31" s="46">
        <f>D32</f>
        <v>2925000</v>
      </c>
      <c r="E31" s="13">
        <f>E32</f>
        <v>0</v>
      </c>
      <c r="F31" s="9"/>
      <c r="G31" s="11">
        <f>G32</f>
        <v>0</v>
      </c>
      <c r="H31" s="13">
        <f>H32</f>
        <v>0</v>
      </c>
      <c r="I31" s="45">
        <v>1300000</v>
      </c>
      <c r="J31" s="46">
        <f aca="true" t="shared" si="14" ref="J31:O31">J32</f>
        <v>87750</v>
      </c>
      <c r="K31" s="46">
        <f t="shared" si="14"/>
        <v>511874.99999999994</v>
      </c>
      <c r="L31" s="46">
        <f t="shared" si="14"/>
        <v>599625</v>
      </c>
      <c r="M31" s="46">
        <f t="shared" si="14"/>
        <v>43875</v>
      </c>
      <c r="N31" s="46">
        <f t="shared" si="14"/>
        <v>234000</v>
      </c>
      <c r="O31" s="46">
        <f t="shared" si="14"/>
        <v>277875</v>
      </c>
      <c r="P31" s="46"/>
      <c r="Q31" s="46"/>
      <c r="R31" s="46"/>
      <c r="S31" s="46"/>
    </row>
    <row r="32" spans="1:19" ht="15.75">
      <c r="A32" s="16">
        <v>17</v>
      </c>
      <c r="B32" s="18" t="s">
        <v>122</v>
      </c>
      <c r="C32" s="22">
        <v>2.25</v>
      </c>
      <c r="D32" s="44">
        <f>C32*I32</f>
        <v>2925000</v>
      </c>
      <c r="E32" s="12"/>
      <c r="F32" s="9"/>
      <c r="G32" s="22"/>
      <c r="H32" s="45">
        <f>(G32*1150000)</f>
        <v>0</v>
      </c>
      <c r="I32" s="45">
        <v>1300000</v>
      </c>
      <c r="J32" s="44">
        <f>(D32+F32+H32)*3%</f>
        <v>87750</v>
      </c>
      <c r="K32" s="44">
        <f>(D32+F32+H32)*17.5%</f>
        <v>511874.99999999994</v>
      </c>
      <c r="L32" s="44">
        <f>J32+K32</f>
        <v>599625</v>
      </c>
      <c r="M32" s="44">
        <f>(D32+F32+H32)*1.5%</f>
        <v>43875</v>
      </c>
      <c r="N32" s="44">
        <f>(D32+F32+H32)*8%</f>
        <v>234000</v>
      </c>
      <c r="O32" s="44">
        <f>M32+N32</f>
        <v>277875</v>
      </c>
      <c r="P32" s="44"/>
      <c r="Q32" s="44"/>
      <c r="R32" s="44"/>
      <c r="S32" s="44"/>
    </row>
    <row r="33" spans="1:20" ht="20.25" customHeight="1">
      <c r="A33" s="16"/>
      <c r="B33" s="23" t="s">
        <v>5</v>
      </c>
      <c r="C33" s="24">
        <f>C34</f>
        <v>1.86</v>
      </c>
      <c r="D33" s="46">
        <f>D34</f>
        <v>2418000</v>
      </c>
      <c r="E33" s="13">
        <f>E34</f>
        <v>0</v>
      </c>
      <c r="F33" s="9"/>
      <c r="G33" s="11">
        <f>G34</f>
        <v>0.15</v>
      </c>
      <c r="H33" s="13">
        <f>H34</f>
        <v>172500</v>
      </c>
      <c r="I33" s="45">
        <v>1300000</v>
      </c>
      <c r="J33" s="42">
        <f aca="true" t="shared" si="15" ref="J33:O33">J34</f>
        <v>77715</v>
      </c>
      <c r="K33" s="42">
        <f t="shared" si="15"/>
        <v>453337.5</v>
      </c>
      <c r="L33" s="42">
        <f t="shared" si="15"/>
        <v>531052.5</v>
      </c>
      <c r="M33" s="42">
        <f t="shared" si="15"/>
        <v>38857.5</v>
      </c>
      <c r="N33" s="42">
        <f t="shared" si="15"/>
        <v>207240</v>
      </c>
      <c r="O33" s="42">
        <f t="shared" si="15"/>
        <v>246097.5</v>
      </c>
      <c r="P33" s="42"/>
      <c r="Q33" s="42"/>
      <c r="R33" s="42"/>
      <c r="S33" s="23"/>
      <c r="T33" s="23"/>
    </row>
    <row r="34" spans="1:20" ht="20.25" customHeight="1">
      <c r="A34" s="16">
        <v>18</v>
      </c>
      <c r="B34" s="18" t="s">
        <v>133</v>
      </c>
      <c r="C34" s="22">
        <v>1.86</v>
      </c>
      <c r="D34" s="44">
        <f>C34*I34</f>
        <v>2418000</v>
      </c>
      <c r="E34" s="10"/>
      <c r="F34" s="9"/>
      <c r="G34" s="22">
        <v>0.15</v>
      </c>
      <c r="H34" s="45">
        <f>(G34*1150000)</f>
        <v>172500</v>
      </c>
      <c r="I34" s="45">
        <v>1300000</v>
      </c>
      <c r="J34" s="44">
        <f>(D34+F34+H34)*3%</f>
        <v>77715</v>
      </c>
      <c r="K34" s="44">
        <f>(D34+F34+H34)*17.5%</f>
        <v>453337.5</v>
      </c>
      <c r="L34" s="44">
        <f>J34+K34</f>
        <v>531052.5</v>
      </c>
      <c r="M34" s="44">
        <f>(D34+F34+H34)*1.5%</f>
        <v>38857.5</v>
      </c>
      <c r="N34" s="44">
        <f>(D34+F34+H34)*8%</f>
        <v>207240</v>
      </c>
      <c r="O34" s="44">
        <f>M34+N34</f>
        <v>246097.5</v>
      </c>
      <c r="P34" s="44"/>
      <c r="Q34" s="44"/>
      <c r="R34" s="44"/>
      <c r="S34" s="23"/>
      <c r="T34" s="23"/>
    </row>
    <row r="35" spans="1:20" ht="20.25" customHeight="1">
      <c r="A35" s="16"/>
      <c r="B35" s="23" t="s">
        <v>6</v>
      </c>
      <c r="C35" s="25">
        <f>C36</f>
        <v>2.25</v>
      </c>
      <c r="D35" s="46">
        <f>D36</f>
        <v>2925000</v>
      </c>
      <c r="E35" s="13">
        <f>E36</f>
        <v>0</v>
      </c>
      <c r="F35" s="9"/>
      <c r="G35" s="13">
        <f>G36</f>
        <v>0</v>
      </c>
      <c r="H35" s="46"/>
      <c r="I35" s="45">
        <v>1300000</v>
      </c>
      <c r="J35" s="46">
        <f aca="true" t="shared" si="16" ref="J35:O35">J36</f>
        <v>87750</v>
      </c>
      <c r="K35" s="46">
        <f t="shared" si="16"/>
        <v>511874.99999999994</v>
      </c>
      <c r="L35" s="46">
        <f t="shared" si="16"/>
        <v>599625</v>
      </c>
      <c r="M35" s="46">
        <f t="shared" si="16"/>
        <v>43875</v>
      </c>
      <c r="N35" s="46">
        <f t="shared" si="16"/>
        <v>234000</v>
      </c>
      <c r="O35" s="46">
        <f t="shared" si="16"/>
        <v>277875</v>
      </c>
      <c r="P35" s="46"/>
      <c r="Q35" s="46"/>
      <c r="R35" s="46"/>
      <c r="S35" s="23"/>
      <c r="T35" s="23"/>
    </row>
    <row r="36" spans="1:20" ht="20.25" customHeight="1">
      <c r="A36" s="16">
        <v>19</v>
      </c>
      <c r="B36" s="18" t="s">
        <v>124</v>
      </c>
      <c r="C36" s="22">
        <v>2.25</v>
      </c>
      <c r="D36" s="44">
        <f>C36*I36</f>
        <v>2925000</v>
      </c>
      <c r="E36" s="10"/>
      <c r="F36" s="9"/>
      <c r="G36" s="10"/>
      <c r="H36" s="46"/>
      <c r="I36" s="45">
        <v>1300000</v>
      </c>
      <c r="J36" s="44">
        <f>(D36+F36+H36)*3%</f>
        <v>87750</v>
      </c>
      <c r="K36" s="44">
        <f>(D36+F36+H36)*17.5%</f>
        <v>511874.99999999994</v>
      </c>
      <c r="L36" s="44">
        <f>J36+K36</f>
        <v>599625</v>
      </c>
      <c r="M36" s="44">
        <f>(D36+F36+H36)*1.5%</f>
        <v>43875</v>
      </c>
      <c r="N36" s="44">
        <f>(D36+F36+H36)*8%</f>
        <v>234000</v>
      </c>
      <c r="O36" s="44">
        <f>M36+N36</f>
        <v>277875</v>
      </c>
      <c r="P36" s="44"/>
      <c r="Q36" s="44"/>
      <c r="R36" s="44"/>
      <c r="S36" s="23"/>
      <c r="T36" s="23"/>
    </row>
    <row r="37" spans="1:20" ht="20.25" customHeight="1">
      <c r="A37" s="16"/>
      <c r="B37" s="23" t="s">
        <v>2</v>
      </c>
      <c r="C37" s="25">
        <f aca="true" t="shared" si="17" ref="C37:H37">C38+C39</f>
        <v>2.86</v>
      </c>
      <c r="D37" s="46">
        <f t="shared" si="17"/>
        <v>3718000</v>
      </c>
      <c r="E37" s="11">
        <f t="shared" si="17"/>
        <v>0</v>
      </c>
      <c r="F37" s="46">
        <f t="shared" si="17"/>
        <v>0</v>
      </c>
      <c r="G37" s="11">
        <f t="shared" si="17"/>
        <v>0.3</v>
      </c>
      <c r="H37" s="13">
        <f t="shared" si="17"/>
        <v>390000</v>
      </c>
      <c r="I37" s="45">
        <v>1300000</v>
      </c>
      <c r="J37" s="46">
        <f aca="true" t="shared" si="18" ref="J37:O37">J38+J39</f>
        <v>123240</v>
      </c>
      <c r="K37" s="46">
        <f t="shared" si="18"/>
        <v>718900</v>
      </c>
      <c r="L37" s="46">
        <f t="shared" si="18"/>
        <v>842140</v>
      </c>
      <c r="M37" s="46">
        <f t="shared" si="18"/>
        <v>61620</v>
      </c>
      <c r="N37" s="46">
        <f t="shared" si="18"/>
        <v>328640</v>
      </c>
      <c r="O37" s="46">
        <f t="shared" si="18"/>
        <v>390260</v>
      </c>
      <c r="P37" s="46"/>
      <c r="Q37" s="46"/>
      <c r="R37" s="46"/>
      <c r="S37" s="23"/>
      <c r="T37" s="23"/>
    </row>
    <row r="38" spans="1:19" ht="20.25" customHeight="1">
      <c r="A38" s="16"/>
      <c r="B38" s="18"/>
      <c r="C38" s="22"/>
      <c r="D38" s="44">
        <f>C38*I38</f>
        <v>0</v>
      </c>
      <c r="E38" s="12"/>
      <c r="F38" s="45"/>
      <c r="G38" s="22"/>
      <c r="H38" s="45">
        <f>G38*I38</f>
        <v>0</v>
      </c>
      <c r="I38" s="45">
        <v>1300000</v>
      </c>
      <c r="J38" s="44">
        <f>(D38+F38+H38)*3%</f>
        <v>0</v>
      </c>
      <c r="K38" s="44">
        <f>(D38+F38+H38)*18%</f>
        <v>0</v>
      </c>
      <c r="L38" s="44">
        <f>J38+K38</f>
        <v>0</v>
      </c>
      <c r="M38" s="44">
        <f>(D38+F38+H38)*1.5%</f>
        <v>0</v>
      </c>
      <c r="N38" s="44">
        <f>(D38+F38+H38)*8%</f>
        <v>0</v>
      </c>
      <c r="O38" s="44">
        <f>M38+N38</f>
        <v>0</v>
      </c>
      <c r="P38" s="44"/>
      <c r="Q38" s="44"/>
      <c r="R38" s="44"/>
      <c r="S38" s="44"/>
    </row>
    <row r="39" spans="1:19" ht="20.25" customHeight="1">
      <c r="A39" s="16">
        <v>20</v>
      </c>
      <c r="B39" s="18" t="s">
        <v>145</v>
      </c>
      <c r="C39" s="22">
        <v>2.86</v>
      </c>
      <c r="D39" s="44">
        <f>C39*I39</f>
        <v>3718000</v>
      </c>
      <c r="E39" s="12"/>
      <c r="F39" s="9"/>
      <c r="G39" s="22">
        <v>0.3</v>
      </c>
      <c r="H39" s="45">
        <f>G39*I39</f>
        <v>390000</v>
      </c>
      <c r="I39" s="45">
        <v>1300000</v>
      </c>
      <c r="J39" s="44">
        <f>(D39+F39+H39)*3%</f>
        <v>123240</v>
      </c>
      <c r="K39" s="44">
        <f>(D39+F39+H39)*17.5%</f>
        <v>718900</v>
      </c>
      <c r="L39" s="44">
        <f>J39+K39</f>
        <v>842140</v>
      </c>
      <c r="M39" s="44">
        <f>(D39+F39+H39)*1.5%</f>
        <v>61620</v>
      </c>
      <c r="N39" s="44">
        <f>(D39+F39+H39)*8%</f>
        <v>328640</v>
      </c>
      <c r="O39" s="44">
        <f>M39+N39</f>
        <v>390260</v>
      </c>
      <c r="P39" s="44"/>
      <c r="Q39" s="44"/>
      <c r="R39" s="44"/>
      <c r="S39" s="44"/>
    </row>
    <row r="40" spans="1:20" ht="20.25" customHeight="1">
      <c r="A40" s="23"/>
      <c r="B40" s="23" t="s">
        <v>12</v>
      </c>
      <c r="C40" s="27">
        <f>C41</f>
        <v>2.45</v>
      </c>
      <c r="D40" s="46">
        <f>D41</f>
        <v>3185000</v>
      </c>
      <c r="E40" s="29">
        <f>E41</f>
        <v>0</v>
      </c>
      <c r="F40" s="29">
        <f>F41</f>
        <v>0</v>
      </c>
      <c r="G40" s="29">
        <f>G41</f>
        <v>0</v>
      </c>
      <c r="H40" s="46"/>
      <c r="I40" s="45">
        <v>1300000</v>
      </c>
      <c r="J40" s="46">
        <f aca="true" t="shared" si="19" ref="J40:O40">J41</f>
        <v>95550</v>
      </c>
      <c r="K40" s="46">
        <f t="shared" si="19"/>
        <v>557375</v>
      </c>
      <c r="L40" s="46">
        <f t="shared" si="19"/>
        <v>652925</v>
      </c>
      <c r="M40" s="46">
        <f t="shared" si="19"/>
        <v>47775</v>
      </c>
      <c r="N40" s="46">
        <f t="shared" si="19"/>
        <v>254800</v>
      </c>
      <c r="O40" s="46">
        <f t="shared" si="19"/>
        <v>302575</v>
      </c>
      <c r="P40" s="46"/>
      <c r="Q40" s="46"/>
      <c r="R40" s="46"/>
      <c r="S40" s="23"/>
      <c r="T40" s="23"/>
    </row>
    <row r="41" spans="1:20" ht="20.25" customHeight="1">
      <c r="A41" s="16">
        <v>21</v>
      </c>
      <c r="B41" s="18" t="s">
        <v>125</v>
      </c>
      <c r="C41" s="26">
        <v>2.45</v>
      </c>
      <c r="D41" s="44">
        <f>C41*I41</f>
        <v>3185000</v>
      </c>
      <c r="E41" s="14"/>
      <c r="F41" s="9"/>
      <c r="G41" s="14"/>
      <c r="H41" s="46"/>
      <c r="I41" s="45">
        <v>1300000</v>
      </c>
      <c r="J41" s="44">
        <f>(D41+F41+H41)*3%</f>
        <v>95550</v>
      </c>
      <c r="K41" s="44">
        <f>(D41+F41+H41)*17.5%</f>
        <v>557375</v>
      </c>
      <c r="L41" s="44">
        <f>J41+K41</f>
        <v>652925</v>
      </c>
      <c r="M41" s="44">
        <f>(D41+F41+H41)*1.5%</f>
        <v>47775</v>
      </c>
      <c r="N41" s="44">
        <f>(D41+F41+H41)*8%</f>
        <v>254800</v>
      </c>
      <c r="O41" s="44">
        <f>M41+N41</f>
        <v>302575</v>
      </c>
      <c r="P41" s="44"/>
      <c r="Q41" s="44"/>
      <c r="R41" s="44"/>
      <c r="S41" s="23"/>
      <c r="T41" s="23"/>
    </row>
    <row r="42" spans="1:20" ht="20.25" customHeight="1">
      <c r="A42" s="16"/>
      <c r="B42" s="23" t="s">
        <v>13</v>
      </c>
      <c r="C42" s="8">
        <f>C8+C26+C27+C29+C31+C33+C35+C37+C40</f>
        <v>49.26</v>
      </c>
      <c r="D42" s="28">
        <f>D8+D25+D27+D29+D31+D33+D35+D37+D40</f>
        <v>63480000</v>
      </c>
      <c r="E42" s="8">
        <f>E8+E25+E27+E29+E31+E33+E35+E37+E40</f>
        <v>0</v>
      </c>
      <c r="F42" s="28">
        <f>F8+F25+F27+F29+F31+F33+F35+F37+F40</f>
        <v>0</v>
      </c>
      <c r="G42" s="8">
        <f>G8+G25+G27+G29+G31+G33+G35+G37+G40</f>
        <v>1.4999999999999998</v>
      </c>
      <c r="H42" s="28">
        <f>H8+H25+H27+H29+H31+H33+H35+H37+H40</f>
        <v>1905000</v>
      </c>
      <c r="I42" s="28"/>
      <c r="J42" s="28">
        <f aca="true" t="shared" si="20" ref="J42:O42">J8+J25+J27+J29+J31+J33+J35+J37+J40</f>
        <v>1961550</v>
      </c>
      <c r="K42" s="28">
        <f t="shared" si="20"/>
        <v>11442375</v>
      </c>
      <c r="L42" s="28">
        <f t="shared" si="20"/>
        <v>13403925</v>
      </c>
      <c r="M42" s="28">
        <f t="shared" si="20"/>
        <v>980775</v>
      </c>
      <c r="N42" s="28">
        <f t="shared" si="20"/>
        <v>5230800</v>
      </c>
      <c r="O42" s="28">
        <f t="shared" si="20"/>
        <v>6211575</v>
      </c>
      <c r="P42" s="28"/>
      <c r="Q42" s="28"/>
      <c r="R42" s="28"/>
      <c r="S42" s="18"/>
      <c r="T42" s="18"/>
    </row>
    <row r="43" spans="3:15" ht="15.75">
      <c r="C43" s="47">
        <f>C8+C37+D45</f>
        <v>49.53999999999999</v>
      </c>
      <c r="D43" s="36">
        <f>C41+C36+C34+C32+C30</f>
        <v>10.67</v>
      </c>
      <c r="E43" s="48"/>
      <c r="J43" s="156"/>
      <c r="K43" s="156"/>
      <c r="L43" s="52"/>
      <c r="M43" s="156"/>
      <c r="N43" s="156"/>
      <c r="O43" s="58"/>
    </row>
    <row r="44" spans="1:15" ht="15.75">
      <c r="A44" s="158"/>
      <c r="B44" s="158"/>
      <c r="C44" s="8">
        <f>C8+C25+C37+D43+C27</f>
        <v>49.26</v>
      </c>
      <c r="D44" s="36">
        <f>0.7*6</f>
        <v>4.199999999999999</v>
      </c>
      <c r="E44" s="36"/>
      <c r="F44" s="5"/>
      <c r="G44" s="5"/>
      <c r="H44" s="5"/>
      <c r="I44" s="5"/>
      <c r="J44" s="158"/>
      <c r="K44" s="158"/>
      <c r="L44" s="53"/>
      <c r="M44" s="158"/>
      <c r="N44" s="158"/>
      <c r="O44" s="59"/>
    </row>
    <row r="45" spans="4:6" ht="17.25">
      <c r="D45" s="49">
        <f>SUM(D43:D44)</f>
        <v>14.87</v>
      </c>
      <c r="E45" s="36">
        <f>13.68</f>
        <v>13.68</v>
      </c>
      <c r="F45" s="38">
        <f>D45-E45</f>
        <v>1.1899999999999995</v>
      </c>
    </row>
    <row r="47" ht="15.75">
      <c r="D47" s="6">
        <v>2.76</v>
      </c>
    </row>
    <row r="48" ht="15.75">
      <c r="D48" s="6">
        <v>2.56</v>
      </c>
    </row>
    <row r="49" ht="15.75">
      <c r="D49" s="6">
        <v>2.56</v>
      </c>
    </row>
    <row r="50" ht="15.75">
      <c r="D50" s="6">
        <v>2.45</v>
      </c>
    </row>
    <row r="51" ht="15.75">
      <c r="D51" s="6">
        <v>3.35</v>
      </c>
    </row>
    <row r="53" ht="15.75">
      <c r="D53" s="50">
        <f>SUM(D47:D52)</f>
        <v>13.680000000000001</v>
      </c>
    </row>
  </sheetData>
  <sheetProtection/>
  <mergeCells count="24">
    <mergeCell ref="A1:T1"/>
    <mergeCell ref="P4:P6"/>
    <mergeCell ref="Q4:Q6"/>
    <mergeCell ref="R4:R6"/>
    <mergeCell ref="S4:S6"/>
    <mergeCell ref="A2:T2"/>
    <mergeCell ref="A4:A6"/>
    <mergeCell ref="B4:B6"/>
    <mergeCell ref="C4:D4"/>
    <mergeCell ref="E4:F4"/>
    <mergeCell ref="T4:T6"/>
    <mergeCell ref="C5:C6"/>
    <mergeCell ref="M4:O5"/>
    <mergeCell ref="D5:D6"/>
    <mergeCell ref="E5:F5"/>
    <mergeCell ref="G5:H5"/>
    <mergeCell ref="J4:L5"/>
    <mergeCell ref="I4:I6"/>
    <mergeCell ref="M43:N43"/>
    <mergeCell ref="G4:H4"/>
    <mergeCell ref="A44:B44"/>
    <mergeCell ref="J44:K44"/>
    <mergeCell ref="M44:N44"/>
    <mergeCell ref="J43:K43"/>
  </mergeCells>
  <printOptions horizontalCentered="1"/>
  <pageMargins left="0.25" right="0.25" top="0.5" bottom="0.5" header="0.39" footer="0.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3"/>
  <sheetViews>
    <sheetView view="pageBreakPreview" zoomScale="90" zoomScaleNormal="90" zoomScaleSheetLayoutView="90" zoomScalePageLayoutView="0" workbookViewId="0" topLeftCell="A28">
      <selection activeCell="K42" sqref="K42"/>
    </sheetView>
  </sheetViews>
  <sheetFormatPr defaultColWidth="9.00390625" defaultRowHeight="15.75"/>
  <cols>
    <col min="1" max="1" width="3.50390625" style="6" customWidth="1"/>
    <col min="2" max="2" width="15.875" style="6" customWidth="1"/>
    <col min="3" max="3" width="8.00390625" style="6" customWidth="1"/>
    <col min="4" max="4" width="10.875" style="6" customWidth="1"/>
    <col min="5" max="5" width="6.00390625" style="7" customWidth="1"/>
    <col min="6" max="6" width="8.75390625" style="6" customWidth="1"/>
    <col min="7" max="7" width="6.625" style="7" customWidth="1"/>
    <col min="8" max="9" width="9.625" style="6" customWidth="1"/>
    <col min="10" max="10" width="11.125" style="6" customWidth="1"/>
    <col min="11" max="11" width="11.375" style="6" customWidth="1"/>
    <col min="12" max="12" width="11.125" style="51" customWidth="1"/>
    <col min="13" max="13" width="11.00390625" style="6" customWidth="1"/>
    <col min="14" max="14" width="11.50390625" style="6" customWidth="1"/>
    <col min="15" max="15" width="11.00390625" style="56" customWidth="1"/>
    <col min="16" max="16" width="10.875" style="6" customWidth="1"/>
    <col min="17" max="17" width="8.50390625" style="6" customWidth="1"/>
    <col min="18" max="19" width="11.00390625" style="6" customWidth="1"/>
    <col min="20" max="20" width="10.375" style="6" customWidth="1"/>
    <col min="21" max="21" width="11.125" style="6" bestFit="1" customWidth="1"/>
    <col min="22" max="16384" width="9.00390625" style="6" customWidth="1"/>
  </cols>
  <sheetData>
    <row r="1" spans="1:22" ht="21.75" customHeight="1">
      <c r="A1" s="158" t="s">
        <v>106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37"/>
      <c r="V1" s="37"/>
    </row>
    <row r="2" spans="1:20" ht="16.5" customHeight="1">
      <c r="A2" s="158" t="s">
        <v>208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15" ht="15.75">
      <c r="A3" s="6" t="s">
        <v>53</v>
      </c>
      <c r="D3" s="38"/>
      <c r="E3" s="39"/>
      <c r="F3" s="40"/>
      <c r="L3" s="6"/>
      <c r="O3" s="6"/>
    </row>
    <row r="4" spans="1:20" ht="15.75" customHeight="1">
      <c r="A4" s="171" t="s">
        <v>14</v>
      </c>
      <c r="B4" s="171" t="s">
        <v>24</v>
      </c>
      <c r="C4" s="174" t="s">
        <v>7</v>
      </c>
      <c r="D4" s="175"/>
      <c r="E4" s="157"/>
      <c r="F4" s="157"/>
      <c r="G4" s="157"/>
      <c r="H4" s="157"/>
      <c r="I4" s="159" t="s">
        <v>31</v>
      </c>
      <c r="J4" s="162" t="s">
        <v>22</v>
      </c>
      <c r="K4" s="163"/>
      <c r="L4" s="164"/>
      <c r="M4" s="162" t="s">
        <v>21</v>
      </c>
      <c r="N4" s="163"/>
      <c r="O4" s="164"/>
      <c r="P4" s="159" t="s">
        <v>29</v>
      </c>
      <c r="Q4" s="159" t="s">
        <v>30</v>
      </c>
      <c r="R4" s="159" t="s">
        <v>32</v>
      </c>
      <c r="S4" s="159" t="s">
        <v>33</v>
      </c>
      <c r="T4" s="159" t="s">
        <v>16</v>
      </c>
    </row>
    <row r="5" spans="1:20" ht="30" customHeight="1">
      <c r="A5" s="172"/>
      <c r="B5" s="172"/>
      <c r="C5" s="159" t="s">
        <v>9</v>
      </c>
      <c r="D5" s="159" t="s">
        <v>8</v>
      </c>
      <c r="E5" s="168" t="s">
        <v>23</v>
      </c>
      <c r="F5" s="169"/>
      <c r="G5" s="168" t="s">
        <v>10</v>
      </c>
      <c r="H5" s="170"/>
      <c r="I5" s="160"/>
      <c r="J5" s="165"/>
      <c r="K5" s="166"/>
      <c r="L5" s="167"/>
      <c r="M5" s="165"/>
      <c r="N5" s="166"/>
      <c r="O5" s="167"/>
      <c r="P5" s="160"/>
      <c r="Q5" s="160"/>
      <c r="R5" s="160"/>
      <c r="S5" s="160"/>
      <c r="T5" s="160"/>
    </row>
    <row r="6" spans="1:20" ht="79.5" customHeight="1">
      <c r="A6" s="173"/>
      <c r="B6" s="173"/>
      <c r="C6" s="161"/>
      <c r="D6" s="161"/>
      <c r="E6" s="2" t="s">
        <v>11</v>
      </c>
      <c r="F6" s="2" t="s">
        <v>8</v>
      </c>
      <c r="G6" s="2" t="s">
        <v>11</v>
      </c>
      <c r="H6" s="30" t="s">
        <v>8</v>
      </c>
      <c r="I6" s="161"/>
      <c r="J6" s="3" t="s">
        <v>17</v>
      </c>
      <c r="K6" s="3" t="s">
        <v>222</v>
      </c>
      <c r="L6" s="4" t="s">
        <v>13</v>
      </c>
      <c r="M6" s="3" t="s">
        <v>18</v>
      </c>
      <c r="N6" s="3" t="s">
        <v>19</v>
      </c>
      <c r="O6" s="57" t="s">
        <v>13</v>
      </c>
      <c r="P6" s="160"/>
      <c r="Q6" s="161"/>
      <c r="R6" s="161"/>
      <c r="S6" s="161"/>
      <c r="T6" s="161"/>
    </row>
    <row r="7" spans="1:20" ht="18.75" customHeight="1">
      <c r="A7" s="54" t="s">
        <v>34</v>
      </c>
      <c r="B7" s="54" t="s">
        <v>35</v>
      </c>
      <c r="C7" s="54" t="s">
        <v>36</v>
      </c>
      <c r="D7" s="54" t="s">
        <v>37</v>
      </c>
      <c r="E7" s="54" t="s">
        <v>38</v>
      </c>
      <c r="F7" s="54" t="s">
        <v>39</v>
      </c>
      <c r="G7" s="54" t="s">
        <v>40</v>
      </c>
      <c r="H7" s="54" t="s">
        <v>41</v>
      </c>
      <c r="I7" s="54" t="s">
        <v>42</v>
      </c>
      <c r="J7" s="55" t="s">
        <v>43</v>
      </c>
      <c r="K7" s="55" t="s">
        <v>44</v>
      </c>
      <c r="L7" s="55" t="s">
        <v>45</v>
      </c>
      <c r="M7" s="55" t="s">
        <v>46</v>
      </c>
      <c r="N7" s="55" t="s">
        <v>47</v>
      </c>
      <c r="O7" s="55" t="s">
        <v>48</v>
      </c>
      <c r="P7" s="55" t="s">
        <v>15</v>
      </c>
      <c r="Q7" s="54" t="s">
        <v>49</v>
      </c>
      <c r="R7" s="54" t="s">
        <v>50</v>
      </c>
      <c r="S7" s="54" t="s">
        <v>51</v>
      </c>
      <c r="T7" s="54" t="s">
        <v>52</v>
      </c>
    </row>
    <row r="8" spans="1:20" ht="15.75">
      <c r="A8" s="16"/>
      <c r="B8" s="17" t="s">
        <v>0</v>
      </c>
      <c r="C8" s="41">
        <f aca="true" t="shared" si="0" ref="C8:H8">SUM(C9:C24)</f>
        <v>32.21</v>
      </c>
      <c r="D8" s="42">
        <f t="shared" si="0"/>
        <v>41873000</v>
      </c>
      <c r="E8" s="64">
        <f t="shared" si="0"/>
        <v>0</v>
      </c>
      <c r="F8" s="42">
        <f t="shared" si="0"/>
        <v>0</v>
      </c>
      <c r="G8" s="15">
        <f t="shared" si="0"/>
        <v>0.8999999999999999</v>
      </c>
      <c r="H8" s="9">
        <f t="shared" si="0"/>
        <v>1170000</v>
      </c>
      <c r="I8" s="9"/>
      <c r="J8" s="42">
        <f aca="true" t="shared" si="1" ref="J8:O8">SUM(J9:J24)</f>
        <v>1291290</v>
      </c>
      <c r="K8" s="42">
        <f t="shared" si="1"/>
        <v>7532525</v>
      </c>
      <c r="L8" s="42">
        <f t="shared" si="1"/>
        <v>8823815</v>
      </c>
      <c r="M8" s="42">
        <f t="shared" si="1"/>
        <v>645645</v>
      </c>
      <c r="N8" s="42">
        <f t="shared" si="1"/>
        <v>3443440</v>
      </c>
      <c r="O8" s="42">
        <f t="shared" si="1"/>
        <v>4089085</v>
      </c>
      <c r="P8" s="42"/>
      <c r="Q8" s="42"/>
      <c r="R8" s="42"/>
      <c r="S8" s="43"/>
      <c r="T8" s="16"/>
    </row>
    <row r="9" spans="1:20" ht="15.75">
      <c r="A9" s="21" t="s">
        <v>34</v>
      </c>
      <c r="B9" s="1" t="s">
        <v>108</v>
      </c>
      <c r="C9" s="22">
        <v>2.46</v>
      </c>
      <c r="D9" s="44">
        <f>C9*I9</f>
        <v>3198000</v>
      </c>
      <c r="E9" s="78"/>
      <c r="F9" s="45">
        <f>E9*I9</f>
        <v>0</v>
      </c>
      <c r="G9" s="22">
        <v>0.25</v>
      </c>
      <c r="H9" s="45">
        <f>G9*I9</f>
        <v>325000</v>
      </c>
      <c r="I9" s="45">
        <v>1300000</v>
      </c>
      <c r="J9" s="44">
        <f aca="true" t="shared" si="2" ref="J9:J22">(D9+F9+H9)*3%</f>
        <v>105690</v>
      </c>
      <c r="K9" s="44">
        <f>(D9+F9+H9)*17.5%</f>
        <v>616525</v>
      </c>
      <c r="L9" s="44">
        <f aca="true" t="shared" si="3" ref="L9:L22">J9+K9</f>
        <v>722215</v>
      </c>
      <c r="M9" s="44">
        <f aca="true" t="shared" si="4" ref="M9:M22">(D9+F9+H9)*1.5%</f>
        <v>52845</v>
      </c>
      <c r="N9" s="44">
        <f aca="true" t="shared" si="5" ref="N9:N22">(D9+F9+H9)*8%</f>
        <v>281840</v>
      </c>
      <c r="O9" s="44">
        <f aca="true" t="shared" si="6" ref="O9:O22">M9+N9</f>
        <v>334685</v>
      </c>
      <c r="P9" s="44"/>
      <c r="Q9" s="44"/>
      <c r="R9" s="44"/>
      <c r="S9" s="16"/>
      <c r="T9" s="16"/>
    </row>
    <row r="10" spans="1:20" ht="15.75">
      <c r="A10" s="21" t="s">
        <v>35</v>
      </c>
      <c r="B10" s="18" t="s">
        <v>109</v>
      </c>
      <c r="C10" s="22">
        <v>2.46</v>
      </c>
      <c r="D10" s="44">
        <f aca="true" t="shared" si="7" ref="D10:D22">C10*I10</f>
        <v>3198000</v>
      </c>
      <c r="E10" s="12"/>
      <c r="F10" s="45">
        <f aca="true" t="shared" si="8" ref="F10:F22">(E10*1150000)</f>
        <v>0</v>
      </c>
      <c r="G10" s="22">
        <v>0.2</v>
      </c>
      <c r="H10" s="45">
        <f>G10*I10</f>
        <v>260000</v>
      </c>
      <c r="I10" s="45">
        <v>1300000</v>
      </c>
      <c r="J10" s="44">
        <f t="shared" si="2"/>
        <v>103740</v>
      </c>
      <c r="K10" s="44">
        <f aca="true" t="shared" si="9" ref="K10:K21">(D10+F10+H10)*17.5%</f>
        <v>605150</v>
      </c>
      <c r="L10" s="44">
        <f t="shared" si="3"/>
        <v>708890</v>
      </c>
      <c r="M10" s="44">
        <f t="shared" si="4"/>
        <v>51870</v>
      </c>
      <c r="N10" s="44">
        <f t="shared" si="5"/>
        <v>276640</v>
      </c>
      <c r="O10" s="44">
        <f t="shared" si="6"/>
        <v>328510</v>
      </c>
      <c r="P10" s="44"/>
      <c r="Q10" s="44"/>
      <c r="R10" s="44"/>
      <c r="S10" s="18"/>
      <c r="T10" s="18"/>
    </row>
    <row r="11" spans="1:20" ht="15.75">
      <c r="A11" s="21" t="s">
        <v>36</v>
      </c>
      <c r="B11" s="18" t="s">
        <v>110</v>
      </c>
      <c r="C11" s="22">
        <v>2.66</v>
      </c>
      <c r="D11" s="44">
        <f t="shared" si="7"/>
        <v>3458000</v>
      </c>
      <c r="E11" s="22"/>
      <c r="F11" s="45">
        <f t="shared" si="8"/>
        <v>0</v>
      </c>
      <c r="G11" s="22">
        <v>0.25</v>
      </c>
      <c r="H11" s="45">
        <f>G11*I11</f>
        <v>325000</v>
      </c>
      <c r="I11" s="45">
        <v>1300000</v>
      </c>
      <c r="J11" s="44">
        <f t="shared" si="2"/>
        <v>113490</v>
      </c>
      <c r="K11" s="44">
        <f t="shared" si="9"/>
        <v>662025</v>
      </c>
      <c r="L11" s="44">
        <f t="shared" si="3"/>
        <v>775515</v>
      </c>
      <c r="M11" s="44">
        <f t="shared" si="4"/>
        <v>56745</v>
      </c>
      <c r="N11" s="44">
        <f t="shared" si="5"/>
        <v>302640</v>
      </c>
      <c r="O11" s="44">
        <f t="shared" si="6"/>
        <v>359385</v>
      </c>
      <c r="P11" s="44"/>
      <c r="Q11" s="44"/>
      <c r="R11" s="44"/>
      <c r="S11" s="18"/>
      <c r="T11" s="18"/>
    </row>
    <row r="12" spans="1:20" ht="15.75">
      <c r="A12" s="21" t="s">
        <v>37</v>
      </c>
      <c r="B12" s="18" t="s">
        <v>111</v>
      </c>
      <c r="C12" s="22">
        <v>2.34</v>
      </c>
      <c r="D12" s="44">
        <f t="shared" si="7"/>
        <v>3042000</v>
      </c>
      <c r="E12" s="12"/>
      <c r="F12" s="45">
        <f t="shared" si="8"/>
        <v>0</v>
      </c>
      <c r="G12" s="22">
        <v>0.2</v>
      </c>
      <c r="H12" s="45">
        <f>G12*I12</f>
        <v>260000</v>
      </c>
      <c r="I12" s="45">
        <v>1300000</v>
      </c>
      <c r="J12" s="44">
        <f t="shared" si="2"/>
        <v>99060</v>
      </c>
      <c r="K12" s="44">
        <f t="shared" si="9"/>
        <v>577850</v>
      </c>
      <c r="L12" s="44">
        <f t="shared" si="3"/>
        <v>676910</v>
      </c>
      <c r="M12" s="44">
        <f t="shared" si="4"/>
        <v>49530</v>
      </c>
      <c r="N12" s="44">
        <f t="shared" si="5"/>
        <v>264160</v>
      </c>
      <c r="O12" s="44">
        <f t="shared" si="6"/>
        <v>313690</v>
      </c>
      <c r="P12" s="44"/>
      <c r="Q12" s="44"/>
      <c r="R12" s="44"/>
      <c r="S12" s="18"/>
      <c r="T12" s="18"/>
    </row>
    <row r="13" spans="1:20" ht="15.75">
      <c r="A13" s="21" t="s">
        <v>38</v>
      </c>
      <c r="B13" s="18" t="s">
        <v>112</v>
      </c>
      <c r="C13" s="22">
        <v>3</v>
      </c>
      <c r="D13" s="44">
        <f t="shared" si="7"/>
        <v>3900000</v>
      </c>
      <c r="E13" s="12"/>
      <c r="F13" s="45">
        <f t="shared" si="8"/>
        <v>0</v>
      </c>
      <c r="G13" s="22"/>
      <c r="H13" s="45">
        <f>G13*I13</f>
        <v>0</v>
      </c>
      <c r="I13" s="45">
        <v>1300000</v>
      </c>
      <c r="J13" s="44">
        <f t="shared" si="2"/>
        <v>117000</v>
      </c>
      <c r="K13" s="44">
        <f t="shared" si="9"/>
        <v>682500</v>
      </c>
      <c r="L13" s="44">
        <f t="shared" si="3"/>
        <v>799500</v>
      </c>
      <c r="M13" s="44">
        <f t="shared" si="4"/>
        <v>58500</v>
      </c>
      <c r="N13" s="44">
        <f t="shared" si="5"/>
        <v>312000</v>
      </c>
      <c r="O13" s="44">
        <f t="shared" si="6"/>
        <v>370500</v>
      </c>
      <c r="P13" s="44"/>
      <c r="Q13" s="44"/>
      <c r="R13" s="44"/>
      <c r="S13" s="18"/>
      <c r="T13" s="18"/>
    </row>
    <row r="14" spans="1:20" ht="15.75">
      <c r="A14" s="21" t="s">
        <v>39</v>
      </c>
      <c r="B14" s="18" t="s">
        <v>113</v>
      </c>
      <c r="C14" s="22">
        <v>2.06</v>
      </c>
      <c r="D14" s="44">
        <f t="shared" si="7"/>
        <v>2678000</v>
      </c>
      <c r="E14" s="12"/>
      <c r="F14" s="45">
        <f t="shared" si="8"/>
        <v>0</v>
      </c>
      <c r="G14" s="22"/>
      <c r="H14" s="45">
        <f aca="true" t="shared" si="10" ref="H14:H22">(G14*1150000)</f>
        <v>0</v>
      </c>
      <c r="I14" s="45">
        <v>1300000</v>
      </c>
      <c r="J14" s="44">
        <f t="shared" si="2"/>
        <v>80340</v>
      </c>
      <c r="K14" s="44">
        <f t="shared" si="9"/>
        <v>468649.99999999994</v>
      </c>
      <c r="L14" s="44">
        <f t="shared" si="3"/>
        <v>548990</v>
      </c>
      <c r="M14" s="44">
        <f t="shared" si="4"/>
        <v>40170</v>
      </c>
      <c r="N14" s="44">
        <f t="shared" si="5"/>
        <v>214240</v>
      </c>
      <c r="O14" s="44">
        <f t="shared" si="6"/>
        <v>254410</v>
      </c>
      <c r="P14" s="44"/>
      <c r="Q14" s="44"/>
      <c r="R14" s="44"/>
      <c r="S14" s="18"/>
      <c r="T14" s="18"/>
    </row>
    <row r="15" spans="1:20" ht="15.75">
      <c r="A15" s="21" t="s">
        <v>40</v>
      </c>
      <c r="B15" s="18" t="s">
        <v>114</v>
      </c>
      <c r="C15" s="22">
        <v>2.86</v>
      </c>
      <c r="D15" s="44">
        <f t="shared" si="7"/>
        <v>3718000</v>
      </c>
      <c r="E15" s="12"/>
      <c r="F15" s="45">
        <f t="shared" si="8"/>
        <v>0</v>
      </c>
      <c r="G15" s="22"/>
      <c r="H15" s="45">
        <f t="shared" si="10"/>
        <v>0</v>
      </c>
      <c r="I15" s="45">
        <v>1300000</v>
      </c>
      <c r="J15" s="44">
        <f t="shared" si="2"/>
        <v>111540</v>
      </c>
      <c r="K15" s="44">
        <f t="shared" si="9"/>
        <v>650650</v>
      </c>
      <c r="L15" s="44">
        <f t="shared" si="3"/>
        <v>762190</v>
      </c>
      <c r="M15" s="44">
        <f t="shared" si="4"/>
        <v>55770</v>
      </c>
      <c r="N15" s="44">
        <f t="shared" si="5"/>
        <v>297440</v>
      </c>
      <c r="O15" s="44">
        <f t="shared" si="6"/>
        <v>353210</v>
      </c>
      <c r="P15" s="44"/>
      <c r="Q15" s="44"/>
      <c r="R15" s="44"/>
      <c r="S15" s="18"/>
      <c r="T15" s="18"/>
    </row>
    <row r="16" spans="1:20" s="105" customFormat="1" ht="15.75">
      <c r="A16" s="100" t="s">
        <v>41</v>
      </c>
      <c r="B16" s="101" t="s">
        <v>115</v>
      </c>
      <c r="C16" s="102">
        <v>2.46</v>
      </c>
      <c r="D16" s="103">
        <f t="shared" si="7"/>
        <v>3198000</v>
      </c>
      <c r="E16" s="106"/>
      <c r="F16" s="104">
        <f t="shared" si="8"/>
        <v>0</v>
      </c>
      <c r="G16" s="102"/>
      <c r="H16" s="104">
        <f t="shared" si="10"/>
        <v>0</v>
      </c>
      <c r="I16" s="104">
        <v>1300000</v>
      </c>
      <c r="J16" s="103">
        <f t="shared" si="2"/>
        <v>95940</v>
      </c>
      <c r="K16" s="44">
        <f t="shared" si="9"/>
        <v>559650</v>
      </c>
      <c r="L16" s="103">
        <f t="shared" si="3"/>
        <v>655590</v>
      </c>
      <c r="M16" s="103">
        <f t="shared" si="4"/>
        <v>47970</v>
      </c>
      <c r="N16" s="103">
        <f t="shared" si="5"/>
        <v>255840</v>
      </c>
      <c r="O16" s="103">
        <f t="shared" si="6"/>
        <v>303810</v>
      </c>
      <c r="P16" s="103"/>
      <c r="Q16" s="103"/>
      <c r="R16" s="103"/>
      <c r="S16" s="101"/>
      <c r="T16" s="101"/>
    </row>
    <row r="17" spans="1:20" ht="15.75">
      <c r="A17" s="21"/>
      <c r="B17" s="18"/>
      <c r="C17" s="22"/>
      <c r="D17" s="44">
        <f t="shared" si="7"/>
        <v>0</v>
      </c>
      <c r="E17" s="12"/>
      <c r="F17" s="45">
        <f t="shared" si="8"/>
        <v>0</v>
      </c>
      <c r="G17" s="22"/>
      <c r="H17" s="45">
        <f t="shared" si="10"/>
        <v>0</v>
      </c>
      <c r="I17" s="45">
        <v>1300000</v>
      </c>
      <c r="J17" s="44">
        <f t="shared" si="2"/>
        <v>0</v>
      </c>
      <c r="K17" s="44">
        <f t="shared" si="9"/>
        <v>0</v>
      </c>
      <c r="L17" s="44">
        <f t="shared" si="3"/>
        <v>0</v>
      </c>
      <c r="M17" s="44">
        <f t="shared" si="4"/>
        <v>0</v>
      </c>
      <c r="N17" s="44">
        <f t="shared" si="5"/>
        <v>0</v>
      </c>
      <c r="O17" s="44">
        <f t="shared" si="6"/>
        <v>0</v>
      </c>
      <c r="P17" s="44"/>
      <c r="Q17" s="44"/>
      <c r="R17" s="44"/>
      <c r="S17" s="18"/>
      <c r="T17" s="18"/>
    </row>
    <row r="18" spans="1:20" ht="15.75">
      <c r="A18" s="21">
        <v>9</v>
      </c>
      <c r="B18" s="18" t="s">
        <v>116</v>
      </c>
      <c r="C18" s="22">
        <v>2.26</v>
      </c>
      <c r="D18" s="44">
        <f t="shared" si="7"/>
        <v>2937999.9999999995</v>
      </c>
      <c r="E18" s="12"/>
      <c r="F18" s="45">
        <f t="shared" si="8"/>
        <v>0</v>
      </c>
      <c r="G18" s="22"/>
      <c r="H18" s="45">
        <f t="shared" si="10"/>
        <v>0</v>
      </c>
      <c r="I18" s="45">
        <v>1300000</v>
      </c>
      <c r="J18" s="44">
        <f t="shared" si="2"/>
        <v>88139.99999999999</v>
      </c>
      <c r="K18" s="44">
        <f t="shared" si="9"/>
        <v>514149.9999999999</v>
      </c>
      <c r="L18" s="44">
        <f t="shared" si="3"/>
        <v>602289.9999999999</v>
      </c>
      <c r="M18" s="44">
        <f t="shared" si="4"/>
        <v>44069.99999999999</v>
      </c>
      <c r="N18" s="44">
        <f t="shared" si="5"/>
        <v>235039.99999999997</v>
      </c>
      <c r="O18" s="44">
        <f t="shared" si="6"/>
        <v>279109.99999999994</v>
      </c>
      <c r="P18" s="44"/>
      <c r="Q18" s="44"/>
      <c r="R18" s="44"/>
      <c r="S18" s="18"/>
      <c r="T18" s="18"/>
    </row>
    <row r="19" spans="1:20" ht="15.75">
      <c r="A19" s="21">
        <v>10</v>
      </c>
      <c r="B19" s="18" t="s">
        <v>117</v>
      </c>
      <c r="C19" s="22">
        <v>2.46</v>
      </c>
      <c r="D19" s="44">
        <f t="shared" si="7"/>
        <v>3198000</v>
      </c>
      <c r="E19" s="12"/>
      <c r="F19" s="45">
        <f t="shared" si="8"/>
        <v>0</v>
      </c>
      <c r="G19" s="22"/>
      <c r="H19" s="45">
        <f t="shared" si="10"/>
        <v>0</v>
      </c>
      <c r="I19" s="45">
        <v>1300000</v>
      </c>
      <c r="J19" s="44">
        <f t="shared" si="2"/>
        <v>95940</v>
      </c>
      <c r="K19" s="44">
        <f t="shared" si="9"/>
        <v>559650</v>
      </c>
      <c r="L19" s="44">
        <f t="shared" si="3"/>
        <v>655590</v>
      </c>
      <c r="M19" s="44">
        <f t="shared" si="4"/>
        <v>47970</v>
      </c>
      <c r="N19" s="44">
        <f t="shared" si="5"/>
        <v>255840</v>
      </c>
      <c r="O19" s="44">
        <f t="shared" si="6"/>
        <v>303810</v>
      </c>
      <c r="P19" s="44"/>
      <c r="Q19" s="44"/>
      <c r="R19" s="44"/>
      <c r="S19" s="18"/>
      <c r="T19" s="18"/>
    </row>
    <row r="20" spans="1:20" s="105" customFormat="1" ht="15.75">
      <c r="A20" s="100">
        <v>11</v>
      </c>
      <c r="B20" s="101" t="s">
        <v>118</v>
      </c>
      <c r="C20" s="102">
        <v>2.46</v>
      </c>
      <c r="D20" s="103">
        <f t="shared" si="7"/>
        <v>3198000</v>
      </c>
      <c r="E20" s="106"/>
      <c r="F20" s="104">
        <f t="shared" si="8"/>
        <v>0</v>
      </c>
      <c r="G20" s="102"/>
      <c r="H20" s="104">
        <f t="shared" si="10"/>
        <v>0</v>
      </c>
      <c r="I20" s="104">
        <v>1300000</v>
      </c>
      <c r="J20" s="103">
        <f t="shared" si="2"/>
        <v>95940</v>
      </c>
      <c r="K20" s="44">
        <f t="shared" si="9"/>
        <v>559650</v>
      </c>
      <c r="L20" s="103">
        <f t="shared" si="3"/>
        <v>655590</v>
      </c>
      <c r="M20" s="103">
        <f t="shared" si="4"/>
        <v>47970</v>
      </c>
      <c r="N20" s="103">
        <f t="shared" si="5"/>
        <v>255840</v>
      </c>
      <c r="O20" s="103">
        <f t="shared" si="6"/>
        <v>303810</v>
      </c>
      <c r="P20" s="103"/>
      <c r="Q20" s="103"/>
      <c r="R20" s="103"/>
      <c r="S20" s="101"/>
      <c r="T20" s="101"/>
    </row>
    <row r="21" spans="1:20" ht="15.75">
      <c r="A21" s="21">
        <v>12</v>
      </c>
      <c r="B21" s="18" t="s">
        <v>119</v>
      </c>
      <c r="C21" s="22">
        <v>2.06</v>
      </c>
      <c r="D21" s="44">
        <f t="shared" si="7"/>
        <v>2678000</v>
      </c>
      <c r="E21" s="12"/>
      <c r="F21" s="45">
        <f t="shared" si="8"/>
        <v>0</v>
      </c>
      <c r="G21" s="22"/>
      <c r="H21" s="45">
        <f t="shared" si="10"/>
        <v>0</v>
      </c>
      <c r="I21" s="45">
        <v>1300000</v>
      </c>
      <c r="J21" s="44">
        <f t="shared" si="2"/>
        <v>80340</v>
      </c>
      <c r="K21" s="44">
        <f t="shared" si="9"/>
        <v>468649.99999999994</v>
      </c>
      <c r="L21" s="44">
        <f t="shared" si="3"/>
        <v>548990</v>
      </c>
      <c r="M21" s="44">
        <f t="shared" si="4"/>
        <v>40170</v>
      </c>
      <c r="N21" s="44">
        <f t="shared" si="5"/>
        <v>214240</v>
      </c>
      <c r="O21" s="44">
        <f t="shared" si="6"/>
        <v>254410</v>
      </c>
      <c r="P21" s="44"/>
      <c r="Q21" s="44"/>
      <c r="R21" s="44"/>
      <c r="S21" s="18"/>
      <c r="T21" s="18"/>
    </row>
    <row r="22" spans="1:20" ht="15.75">
      <c r="A22" s="21">
        <v>13</v>
      </c>
      <c r="B22" s="18" t="s">
        <v>219</v>
      </c>
      <c r="C22" s="22">
        <v>2.67</v>
      </c>
      <c r="D22" s="44">
        <f t="shared" si="7"/>
        <v>3471000</v>
      </c>
      <c r="E22" s="12"/>
      <c r="F22" s="45">
        <f t="shared" si="8"/>
        <v>0</v>
      </c>
      <c r="G22" s="22"/>
      <c r="H22" s="45">
        <f t="shared" si="10"/>
        <v>0</v>
      </c>
      <c r="I22" s="45">
        <v>1300000</v>
      </c>
      <c r="J22" s="44">
        <f t="shared" si="2"/>
        <v>104130</v>
      </c>
      <c r="K22" s="44">
        <f>(D22+F22+H22)*17.5%</f>
        <v>607425</v>
      </c>
      <c r="L22" s="44">
        <f t="shared" si="3"/>
        <v>711555</v>
      </c>
      <c r="M22" s="44">
        <f t="shared" si="4"/>
        <v>52065</v>
      </c>
      <c r="N22" s="44">
        <f t="shared" si="5"/>
        <v>277680</v>
      </c>
      <c r="O22" s="44">
        <f t="shared" si="6"/>
        <v>329745</v>
      </c>
      <c r="P22" s="44"/>
      <c r="Q22" s="44"/>
      <c r="R22" s="44"/>
      <c r="S22" s="18"/>
      <c r="T22" s="18"/>
    </row>
    <row r="23" spans="1:20" ht="15.75">
      <c r="A23" s="21"/>
      <c r="B23" s="18"/>
      <c r="C23" s="22"/>
      <c r="D23" s="44"/>
      <c r="E23" s="12"/>
      <c r="F23" s="45"/>
      <c r="G23" s="22"/>
      <c r="H23" s="45"/>
      <c r="I23" s="45"/>
      <c r="J23" s="44"/>
      <c r="K23" s="44"/>
      <c r="L23" s="44"/>
      <c r="M23" s="44"/>
      <c r="N23" s="44"/>
      <c r="O23" s="44"/>
      <c r="P23" s="44"/>
      <c r="Q23" s="44"/>
      <c r="R23" s="44"/>
      <c r="S23" s="18"/>
      <c r="T23" s="18"/>
    </row>
    <row r="24" spans="1:20" ht="15.75">
      <c r="A24" s="21"/>
      <c r="B24" s="18"/>
      <c r="C24" s="22"/>
      <c r="D24" s="44"/>
      <c r="E24" s="12"/>
      <c r="F24" s="45"/>
      <c r="G24" s="22"/>
      <c r="H24" s="45"/>
      <c r="I24" s="45"/>
      <c r="J24" s="44"/>
      <c r="K24" s="44"/>
      <c r="L24" s="44"/>
      <c r="M24" s="44"/>
      <c r="N24" s="44"/>
      <c r="O24" s="44"/>
      <c r="P24" s="44"/>
      <c r="Q24" s="44"/>
      <c r="R24" s="44"/>
      <c r="S24" s="18"/>
      <c r="T24" s="18"/>
    </row>
    <row r="25" spans="1:20" ht="20.25" customHeight="1">
      <c r="A25" s="16"/>
      <c r="B25" s="19" t="s">
        <v>1</v>
      </c>
      <c r="C25" s="20">
        <v>1.86</v>
      </c>
      <c r="D25" s="46">
        <f>D26</f>
        <v>2139000</v>
      </c>
      <c r="E25" s="9">
        <f>E26</f>
        <v>0</v>
      </c>
      <c r="F25" s="9">
        <f>F26</f>
        <v>0</v>
      </c>
      <c r="G25" s="9">
        <f>G26</f>
        <v>0</v>
      </c>
      <c r="H25" s="46"/>
      <c r="I25" s="45">
        <v>1300000</v>
      </c>
      <c r="J25" s="46">
        <f aca="true" t="shared" si="11" ref="J25:O25">J26</f>
        <v>64170</v>
      </c>
      <c r="K25" s="46">
        <f t="shared" si="11"/>
        <v>374325</v>
      </c>
      <c r="L25" s="46">
        <f t="shared" si="11"/>
        <v>438495</v>
      </c>
      <c r="M25" s="46">
        <f t="shared" si="11"/>
        <v>32085</v>
      </c>
      <c r="N25" s="46">
        <f t="shared" si="11"/>
        <v>171120</v>
      </c>
      <c r="O25" s="46">
        <f t="shared" si="11"/>
        <v>203205</v>
      </c>
      <c r="P25" s="46"/>
      <c r="Q25" s="46"/>
      <c r="R25" s="46"/>
      <c r="S25" s="23"/>
      <c r="T25" s="23"/>
    </row>
    <row r="26" spans="1:20" ht="20.25" customHeight="1">
      <c r="A26" s="21">
        <v>14</v>
      </c>
      <c r="B26" s="1" t="s">
        <v>143</v>
      </c>
      <c r="C26" s="22">
        <v>1.86</v>
      </c>
      <c r="D26" s="44">
        <f>(C26*1150000)</f>
        <v>2139000</v>
      </c>
      <c r="E26" s="10"/>
      <c r="F26" s="9"/>
      <c r="G26" s="10"/>
      <c r="H26" s="46"/>
      <c r="I26" s="45">
        <v>1300000</v>
      </c>
      <c r="J26" s="44">
        <f>(D26+F26+H26)*3%</f>
        <v>64170</v>
      </c>
      <c r="K26" s="44">
        <f>(D26+F26+H26)*17.5%</f>
        <v>374325</v>
      </c>
      <c r="L26" s="44">
        <f>J26+K26</f>
        <v>438495</v>
      </c>
      <c r="M26" s="44">
        <f>(D26+F26+H26)*1.5%</f>
        <v>32085</v>
      </c>
      <c r="N26" s="44">
        <f>(D26+F26+H26)*8%</f>
        <v>171120</v>
      </c>
      <c r="O26" s="44">
        <f>M26+N26</f>
        <v>203205</v>
      </c>
      <c r="P26" s="44"/>
      <c r="Q26" s="44"/>
      <c r="R26" s="44"/>
      <c r="S26" s="23"/>
      <c r="T26" s="23"/>
    </row>
    <row r="27" spans="1:20" ht="20.25" customHeight="1">
      <c r="A27" s="16"/>
      <c r="B27" s="23" t="s">
        <v>25</v>
      </c>
      <c r="C27" s="24">
        <f>C28</f>
        <v>2.06</v>
      </c>
      <c r="D27" s="46">
        <f>D28</f>
        <v>2678000</v>
      </c>
      <c r="E27" s="11">
        <f>E28</f>
        <v>0</v>
      </c>
      <c r="F27" s="9"/>
      <c r="G27" s="11">
        <f>G28</f>
        <v>0</v>
      </c>
      <c r="H27" s="13">
        <f>H28</f>
        <v>0</v>
      </c>
      <c r="I27" s="45">
        <v>1300000</v>
      </c>
      <c r="J27" s="46">
        <f aca="true" t="shared" si="12" ref="J27:O27">J28</f>
        <v>80340</v>
      </c>
      <c r="K27" s="46">
        <f t="shared" si="12"/>
        <v>468649.99999999994</v>
      </c>
      <c r="L27" s="46">
        <f t="shared" si="12"/>
        <v>548990</v>
      </c>
      <c r="M27" s="46">
        <f t="shared" si="12"/>
        <v>40170</v>
      </c>
      <c r="N27" s="46">
        <f t="shared" si="12"/>
        <v>214240</v>
      </c>
      <c r="O27" s="46">
        <f t="shared" si="12"/>
        <v>254410</v>
      </c>
      <c r="P27" s="46"/>
      <c r="Q27" s="46"/>
      <c r="R27" s="46"/>
      <c r="S27" s="23"/>
      <c r="T27" s="23"/>
    </row>
    <row r="28" spans="1:20" ht="20.25" customHeight="1">
      <c r="A28" s="16">
        <v>15</v>
      </c>
      <c r="B28" s="18" t="s">
        <v>121</v>
      </c>
      <c r="C28" s="22">
        <v>2.06</v>
      </c>
      <c r="D28" s="44">
        <f>C28*I28</f>
        <v>2678000</v>
      </c>
      <c r="E28" s="12"/>
      <c r="F28" s="9"/>
      <c r="G28" s="22"/>
      <c r="H28" s="45"/>
      <c r="I28" s="45">
        <v>1300000</v>
      </c>
      <c r="J28" s="44">
        <f>(D28+F28+H28)*3%</f>
        <v>80340</v>
      </c>
      <c r="K28" s="44">
        <f>(D28+F28+H28)*17.5%</f>
        <v>468649.99999999994</v>
      </c>
      <c r="L28" s="44">
        <f>J28+K28</f>
        <v>548990</v>
      </c>
      <c r="M28" s="44">
        <f>(D28+F28+H28)*1.5%</f>
        <v>40170</v>
      </c>
      <c r="N28" s="44">
        <f>(D28+F28+H28)*8%</f>
        <v>214240</v>
      </c>
      <c r="O28" s="44">
        <f>M28+N28</f>
        <v>254410</v>
      </c>
      <c r="P28" s="44"/>
      <c r="Q28" s="44"/>
      <c r="R28" s="44"/>
      <c r="S28" s="23"/>
      <c r="T28" s="23"/>
    </row>
    <row r="29" spans="1:20" ht="20.25" customHeight="1">
      <c r="A29" s="16"/>
      <c r="B29" s="23" t="s">
        <v>3</v>
      </c>
      <c r="C29" s="24">
        <f>C30</f>
        <v>1.86</v>
      </c>
      <c r="D29" s="46">
        <f>D30</f>
        <v>2139000</v>
      </c>
      <c r="E29" s="11">
        <f>E30</f>
        <v>0</v>
      </c>
      <c r="F29" s="9"/>
      <c r="G29" s="11">
        <f>G30</f>
        <v>0.15</v>
      </c>
      <c r="H29" s="13">
        <f>H30</f>
        <v>172500</v>
      </c>
      <c r="I29" s="45">
        <v>1300000</v>
      </c>
      <c r="J29" s="46">
        <f aca="true" t="shared" si="13" ref="J29:O29">J30</f>
        <v>69345</v>
      </c>
      <c r="K29" s="46">
        <f t="shared" si="13"/>
        <v>404512.5</v>
      </c>
      <c r="L29" s="46">
        <f t="shared" si="13"/>
        <v>473857.5</v>
      </c>
      <c r="M29" s="46">
        <f t="shared" si="13"/>
        <v>34672.5</v>
      </c>
      <c r="N29" s="46">
        <f t="shared" si="13"/>
        <v>184920</v>
      </c>
      <c r="O29" s="46">
        <f t="shared" si="13"/>
        <v>219592.5</v>
      </c>
      <c r="P29" s="46"/>
      <c r="Q29" s="46"/>
      <c r="R29" s="46"/>
      <c r="S29" s="23"/>
      <c r="T29" s="23"/>
    </row>
    <row r="30" spans="1:20" ht="20.25" customHeight="1">
      <c r="A30" s="16">
        <v>16</v>
      </c>
      <c r="B30" s="18" t="s">
        <v>144</v>
      </c>
      <c r="C30" s="22">
        <v>1.86</v>
      </c>
      <c r="D30" s="44">
        <f>(C30*1150000)</f>
        <v>2139000</v>
      </c>
      <c r="E30" s="12"/>
      <c r="F30" s="9"/>
      <c r="G30" s="22">
        <v>0.15</v>
      </c>
      <c r="H30" s="45">
        <f>(G30*1150000)</f>
        <v>172500</v>
      </c>
      <c r="I30" s="45">
        <v>1300000</v>
      </c>
      <c r="J30" s="44">
        <f>(D30+F30+H30)*3%</f>
        <v>69345</v>
      </c>
      <c r="K30" s="44">
        <f>(D30+F30+H30)*17.5%</f>
        <v>404512.5</v>
      </c>
      <c r="L30" s="44">
        <f>J30+K30</f>
        <v>473857.5</v>
      </c>
      <c r="M30" s="44">
        <f>(D30+F30+H30)*1.5%</f>
        <v>34672.5</v>
      </c>
      <c r="N30" s="44">
        <f>(D30+F30+H30)*8%</f>
        <v>184920</v>
      </c>
      <c r="O30" s="44">
        <f>M30+N30</f>
        <v>219592.5</v>
      </c>
      <c r="P30" s="44"/>
      <c r="Q30" s="44"/>
      <c r="R30" s="44"/>
      <c r="S30" s="23"/>
      <c r="T30" s="23"/>
    </row>
    <row r="31" spans="1:19" ht="15.75">
      <c r="A31" s="16"/>
      <c r="B31" s="23" t="s">
        <v>4</v>
      </c>
      <c r="C31" s="24">
        <f>C32</f>
        <v>2.25</v>
      </c>
      <c r="D31" s="46">
        <f>D32</f>
        <v>2925000</v>
      </c>
      <c r="E31" s="13">
        <f>E32</f>
        <v>0</v>
      </c>
      <c r="F31" s="9"/>
      <c r="G31" s="11">
        <f>G32</f>
        <v>0</v>
      </c>
      <c r="H31" s="13">
        <f>H32</f>
        <v>0</v>
      </c>
      <c r="I31" s="45">
        <v>1300000</v>
      </c>
      <c r="J31" s="46">
        <f aca="true" t="shared" si="14" ref="J31:O31">J32</f>
        <v>87750</v>
      </c>
      <c r="K31" s="46">
        <f t="shared" si="14"/>
        <v>511874.99999999994</v>
      </c>
      <c r="L31" s="46">
        <f t="shared" si="14"/>
        <v>599625</v>
      </c>
      <c r="M31" s="46">
        <f t="shared" si="14"/>
        <v>43875</v>
      </c>
      <c r="N31" s="46">
        <f t="shared" si="14"/>
        <v>234000</v>
      </c>
      <c r="O31" s="46">
        <f t="shared" si="14"/>
        <v>277875</v>
      </c>
      <c r="P31" s="46"/>
      <c r="Q31" s="46"/>
      <c r="R31" s="46"/>
      <c r="S31" s="46"/>
    </row>
    <row r="32" spans="1:19" ht="15.75">
      <c r="A32" s="16">
        <v>17</v>
      </c>
      <c r="B32" s="18" t="s">
        <v>122</v>
      </c>
      <c r="C32" s="22">
        <v>2.25</v>
      </c>
      <c r="D32" s="44">
        <f>C32*I32</f>
        <v>2925000</v>
      </c>
      <c r="E32" s="12"/>
      <c r="F32" s="9"/>
      <c r="G32" s="22"/>
      <c r="H32" s="45">
        <f>(G32*1150000)</f>
        <v>0</v>
      </c>
      <c r="I32" s="45">
        <v>1300000</v>
      </c>
      <c r="J32" s="44">
        <f>(D32+F32+H32)*3%</f>
        <v>87750</v>
      </c>
      <c r="K32" s="44">
        <f>(D32+F32+H32)*17.5%</f>
        <v>511874.99999999994</v>
      </c>
      <c r="L32" s="44">
        <f>J32+K32</f>
        <v>599625</v>
      </c>
      <c r="M32" s="44">
        <f>(D32+F32+H32)*1.5%</f>
        <v>43875</v>
      </c>
      <c r="N32" s="44">
        <f>(D32+F32+H32)*8%</f>
        <v>234000</v>
      </c>
      <c r="O32" s="44">
        <f>M32+N32</f>
        <v>277875</v>
      </c>
      <c r="P32" s="44"/>
      <c r="Q32" s="44"/>
      <c r="R32" s="44"/>
      <c r="S32" s="44"/>
    </row>
    <row r="33" spans="1:20" ht="20.25" customHeight="1">
      <c r="A33" s="16"/>
      <c r="B33" s="23" t="s">
        <v>5</v>
      </c>
      <c r="C33" s="24">
        <f>C34</f>
        <v>1.86</v>
      </c>
      <c r="D33" s="46">
        <f>D34</f>
        <v>2418000</v>
      </c>
      <c r="E33" s="13">
        <f>E34</f>
        <v>0</v>
      </c>
      <c r="F33" s="9"/>
      <c r="G33" s="11">
        <f>G34</f>
        <v>0.15</v>
      </c>
      <c r="H33" s="13">
        <f>H34</f>
        <v>172500</v>
      </c>
      <c r="I33" s="45">
        <v>1300000</v>
      </c>
      <c r="J33" s="42">
        <f aca="true" t="shared" si="15" ref="J33:O33">J34</f>
        <v>77715</v>
      </c>
      <c r="K33" s="42">
        <f t="shared" si="15"/>
        <v>453337.5</v>
      </c>
      <c r="L33" s="42">
        <f t="shared" si="15"/>
        <v>531052.5</v>
      </c>
      <c r="M33" s="42">
        <f t="shared" si="15"/>
        <v>38857.5</v>
      </c>
      <c r="N33" s="42">
        <f t="shared" si="15"/>
        <v>207240</v>
      </c>
      <c r="O33" s="42">
        <f t="shared" si="15"/>
        <v>246097.5</v>
      </c>
      <c r="P33" s="42"/>
      <c r="Q33" s="42"/>
      <c r="R33" s="42"/>
      <c r="S33" s="23"/>
      <c r="T33" s="23"/>
    </row>
    <row r="34" spans="1:20" ht="20.25" customHeight="1">
      <c r="A34" s="16">
        <v>18</v>
      </c>
      <c r="B34" s="18" t="s">
        <v>133</v>
      </c>
      <c r="C34" s="22">
        <v>1.86</v>
      </c>
      <c r="D34" s="44">
        <f>C34*I34</f>
        <v>2418000</v>
      </c>
      <c r="E34" s="10"/>
      <c r="F34" s="9"/>
      <c r="G34" s="22">
        <v>0.15</v>
      </c>
      <c r="H34" s="45">
        <f>(G34*1150000)</f>
        <v>172500</v>
      </c>
      <c r="I34" s="45">
        <v>1300000</v>
      </c>
      <c r="J34" s="44">
        <f>(D34+F34+H34)*3%</f>
        <v>77715</v>
      </c>
      <c r="K34" s="44">
        <f>(D34+F34+H34)*17.5%</f>
        <v>453337.5</v>
      </c>
      <c r="L34" s="44">
        <f>J34+K34</f>
        <v>531052.5</v>
      </c>
      <c r="M34" s="44">
        <f>(D34+F34+H34)*1.5%</f>
        <v>38857.5</v>
      </c>
      <c r="N34" s="44">
        <f>(D34+F34+H34)*8%</f>
        <v>207240</v>
      </c>
      <c r="O34" s="44">
        <f>M34+N34</f>
        <v>246097.5</v>
      </c>
      <c r="P34" s="44"/>
      <c r="Q34" s="44"/>
      <c r="R34" s="44"/>
      <c r="S34" s="23"/>
      <c r="T34" s="23"/>
    </row>
    <row r="35" spans="1:20" ht="20.25" customHeight="1">
      <c r="A35" s="16"/>
      <c r="B35" s="23" t="s">
        <v>6</v>
      </c>
      <c r="C35" s="25">
        <f>C36</f>
        <v>2.25</v>
      </c>
      <c r="D35" s="46">
        <f>D36</f>
        <v>2925000</v>
      </c>
      <c r="E35" s="13">
        <f>E36</f>
        <v>0</v>
      </c>
      <c r="F35" s="9"/>
      <c r="G35" s="13">
        <f>G36</f>
        <v>0</v>
      </c>
      <c r="H35" s="46"/>
      <c r="I35" s="45">
        <v>1300000</v>
      </c>
      <c r="J35" s="46">
        <f aca="true" t="shared" si="16" ref="J35:O35">J36</f>
        <v>87750</v>
      </c>
      <c r="K35" s="46">
        <f t="shared" si="16"/>
        <v>511874.99999999994</v>
      </c>
      <c r="L35" s="46">
        <f t="shared" si="16"/>
        <v>599625</v>
      </c>
      <c r="M35" s="46">
        <f t="shared" si="16"/>
        <v>43875</v>
      </c>
      <c r="N35" s="46">
        <f t="shared" si="16"/>
        <v>234000</v>
      </c>
      <c r="O35" s="46">
        <f t="shared" si="16"/>
        <v>277875</v>
      </c>
      <c r="P35" s="46"/>
      <c r="Q35" s="46"/>
      <c r="R35" s="46"/>
      <c r="S35" s="23"/>
      <c r="T35" s="23"/>
    </row>
    <row r="36" spans="1:20" ht="20.25" customHeight="1">
      <c r="A36" s="16">
        <v>19</v>
      </c>
      <c r="B36" s="18" t="s">
        <v>124</v>
      </c>
      <c r="C36" s="22">
        <v>2.25</v>
      </c>
      <c r="D36" s="44">
        <f>C36*I36</f>
        <v>2925000</v>
      </c>
      <c r="E36" s="10"/>
      <c r="F36" s="9"/>
      <c r="G36" s="10"/>
      <c r="H36" s="46"/>
      <c r="I36" s="45">
        <v>1300000</v>
      </c>
      <c r="J36" s="44">
        <f>(D36+F36+H36)*3%</f>
        <v>87750</v>
      </c>
      <c r="K36" s="44">
        <f>(D36+F36+H36)*17.5%</f>
        <v>511874.99999999994</v>
      </c>
      <c r="L36" s="44">
        <f>J36+K36</f>
        <v>599625</v>
      </c>
      <c r="M36" s="44">
        <f>(D36+F36+H36)*1.5%</f>
        <v>43875</v>
      </c>
      <c r="N36" s="44">
        <f>(D36+F36+H36)*8%</f>
        <v>234000</v>
      </c>
      <c r="O36" s="44">
        <f>M36+N36</f>
        <v>277875</v>
      </c>
      <c r="P36" s="44"/>
      <c r="Q36" s="44"/>
      <c r="R36" s="44"/>
      <c r="S36" s="23"/>
      <c r="T36" s="23"/>
    </row>
    <row r="37" spans="1:20" ht="20.25" customHeight="1">
      <c r="A37" s="16"/>
      <c r="B37" s="23" t="s">
        <v>2</v>
      </c>
      <c r="C37" s="25">
        <f aca="true" t="shared" si="17" ref="C37:H37">C38+C39</f>
        <v>2.86</v>
      </c>
      <c r="D37" s="46">
        <f t="shared" si="17"/>
        <v>3718000</v>
      </c>
      <c r="E37" s="11">
        <f t="shared" si="17"/>
        <v>0</v>
      </c>
      <c r="F37" s="46">
        <f t="shared" si="17"/>
        <v>0</v>
      </c>
      <c r="G37" s="11">
        <f t="shared" si="17"/>
        <v>0.3</v>
      </c>
      <c r="H37" s="13">
        <f t="shared" si="17"/>
        <v>390000</v>
      </c>
      <c r="I37" s="45">
        <v>1300000</v>
      </c>
      <c r="J37" s="46">
        <f aca="true" t="shared" si="18" ref="J37:O37">J38+J39</f>
        <v>123240</v>
      </c>
      <c r="K37" s="46">
        <f t="shared" si="18"/>
        <v>718900</v>
      </c>
      <c r="L37" s="46">
        <f t="shared" si="18"/>
        <v>842140</v>
      </c>
      <c r="M37" s="46">
        <f t="shared" si="18"/>
        <v>61620</v>
      </c>
      <c r="N37" s="46">
        <f t="shared" si="18"/>
        <v>328640</v>
      </c>
      <c r="O37" s="46">
        <f t="shared" si="18"/>
        <v>390260</v>
      </c>
      <c r="P37" s="46"/>
      <c r="Q37" s="46"/>
      <c r="R37" s="46"/>
      <c r="S37" s="23"/>
      <c r="T37" s="23"/>
    </row>
    <row r="38" spans="1:19" ht="20.25" customHeight="1">
      <c r="A38" s="16"/>
      <c r="B38" s="18"/>
      <c r="C38" s="22"/>
      <c r="D38" s="44">
        <f>C38*I38</f>
        <v>0</v>
      </c>
      <c r="E38" s="12"/>
      <c r="F38" s="45"/>
      <c r="G38" s="22"/>
      <c r="H38" s="45"/>
      <c r="I38" s="45">
        <v>1300000</v>
      </c>
      <c r="J38" s="44">
        <f>(D38+F38+H38)*3%</f>
        <v>0</v>
      </c>
      <c r="K38" s="44">
        <f>(D38+F38+H38)*18%</f>
        <v>0</v>
      </c>
      <c r="L38" s="44">
        <f>J38+K38</f>
        <v>0</v>
      </c>
      <c r="M38" s="44">
        <f>(D38+F38+H38)*1.5%</f>
        <v>0</v>
      </c>
      <c r="N38" s="44">
        <f>(D38+F38+H38)*8%</f>
        <v>0</v>
      </c>
      <c r="O38" s="44">
        <f>M38+N38</f>
        <v>0</v>
      </c>
      <c r="P38" s="44"/>
      <c r="Q38" s="44"/>
      <c r="R38" s="44"/>
      <c r="S38" s="44"/>
    </row>
    <row r="39" spans="1:19" ht="20.25" customHeight="1">
      <c r="A39" s="16">
        <v>20</v>
      </c>
      <c r="B39" s="18" t="s">
        <v>145</v>
      </c>
      <c r="C39" s="22">
        <v>2.86</v>
      </c>
      <c r="D39" s="44">
        <f>C39*I39</f>
        <v>3718000</v>
      </c>
      <c r="E39" s="12"/>
      <c r="F39" s="9"/>
      <c r="G39" s="22">
        <v>0.3</v>
      </c>
      <c r="H39" s="45">
        <f>G39*I39</f>
        <v>390000</v>
      </c>
      <c r="I39" s="45">
        <v>1300000</v>
      </c>
      <c r="J39" s="44">
        <f>(D39+F39+H39)*3%</f>
        <v>123240</v>
      </c>
      <c r="K39" s="44">
        <f>(D39+F39+H39)*17.5%</f>
        <v>718900</v>
      </c>
      <c r="L39" s="44">
        <f>J39+K39</f>
        <v>842140</v>
      </c>
      <c r="M39" s="44">
        <f>(D39+F39+H39)*1.5%</f>
        <v>61620</v>
      </c>
      <c r="N39" s="44">
        <f>(D39+F39+H39)*8%</f>
        <v>328640</v>
      </c>
      <c r="O39" s="44">
        <f>M39+N39</f>
        <v>390260</v>
      </c>
      <c r="P39" s="44"/>
      <c r="Q39" s="44"/>
      <c r="R39" s="44"/>
      <c r="S39" s="44"/>
    </row>
    <row r="40" spans="1:20" ht="20.25" customHeight="1">
      <c r="A40" s="23"/>
      <c r="B40" s="23" t="s">
        <v>12</v>
      </c>
      <c r="C40" s="27">
        <f>C41</f>
        <v>2.45</v>
      </c>
      <c r="D40" s="46">
        <f>D41</f>
        <v>3185000</v>
      </c>
      <c r="E40" s="29">
        <f>E41</f>
        <v>0</v>
      </c>
      <c r="F40" s="29">
        <f>F41</f>
        <v>0</v>
      </c>
      <c r="G40" s="29">
        <f>G41</f>
        <v>0</v>
      </c>
      <c r="H40" s="46"/>
      <c r="I40" s="45">
        <v>1300000</v>
      </c>
      <c r="J40" s="46">
        <f aca="true" t="shared" si="19" ref="J40:O40">J41</f>
        <v>95550</v>
      </c>
      <c r="K40" s="46">
        <f t="shared" si="19"/>
        <v>557375</v>
      </c>
      <c r="L40" s="46">
        <f t="shared" si="19"/>
        <v>652925</v>
      </c>
      <c r="M40" s="46">
        <f t="shared" si="19"/>
        <v>47775</v>
      </c>
      <c r="N40" s="46">
        <f t="shared" si="19"/>
        <v>254800</v>
      </c>
      <c r="O40" s="46">
        <f t="shared" si="19"/>
        <v>302575</v>
      </c>
      <c r="P40" s="46"/>
      <c r="Q40" s="46"/>
      <c r="R40" s="46"/>
      <c r="S40" s="23"/>
      <c r="T40" s="23"/>
    </row>
    <row r="41" spans="1:20" ht="20.25" customHeight="1">
      <c r="A41" s="16">
        <v>21</v>
      </c>
      <c r="B41" s="18" t="s">
        <v>125</v>
      </c>
      <c r="C41" s="26">
        <v>2.45</v>
      </c>
      <c r="D41" s="44">
        <f>C41*I41</f>
        <v>3185000</v>
      </c>
      <c r="E41" s="14"/>
      <c r="F41" s="9"/>
      <c r="G41" s="14"/>
      <c r="H41" s="46"/>
      <c r="I41" s="45">
        <v>1300000</v>
      </c>
      <c r="J41" s="44">
        <f>(D41+F41+H41)*3%</f>
        <v>95550</v>
      </c>
      <c r="K41" s="44">
        <f>(D41+F41+H41)*17.5%</f>
        <v>557375</v>
      </c>
      <c r="L41" s="44">
        <f>J41+K41</f>
        <v>652925</v>
      </c>
      <c r="M41" s="44">
        <f>(D41+F41+H41)*1.5%</f>
        <v>47775</v>
      </c>
      <c r="N41" s="44">
        <f>(D41+F41+H41)*8%</f>
        <v>254800</v>
      </c>
      <c r="O41" s="44">
        <f>M41+N41</f>
        <v>302575</v>
      </c>
      <c r="P41" s="44"/>
      <c r="Q41" s="44"/>
      <c r="R41" s="44"/>
      <c r="S41" s="23"/>
      <c r="T41" s="23"/>
    </row>
    <row r="42" spans="1:20" ht="20.25" customHeight="1">
      <c r="A42" s="16"/>
      <c r="B42" s="23" t="s">
        <v>13</v>
      </c>
      <c r="C42" s="8">
        <f>C8+C26+C27+C29+C31+C33+C35+C37+C40</f>
        <v>49.660000000000004</v>
      </c>
      <c r="D42" s="28">
        <f>D8+D25+D27+D29+D31+D33+D35+D37+D40</f>
        <v>64000000</v>
      </c>
      <c r="E42" s="8">
        <f>E8+E25+E27+E29+E31+E33+E35+E37+E40</f>
        <v>0</v>
      </c>
      <c r="F42" s="28">
        <f>F8+F25+F27+F29+F31+F33+F35+F37+F40</f>
        <v>0</v>
      </c>
      <c r="G42" s="8">
        <f>G8+G25+G27+G29+G31+G33+G35+G37+G40</f>
        <v>1.4999999999999998</v>
      </c>
      <c r="H42" s="28">
        <f>H8+H25+H27+H29+H31+H33+H35+H37+H40</f>
        <v>1905000</v>
      </c>
      <c r="I42" s="28"/>
      <c r="J42" s="28">
        <f aca="true" t="shared" si="20" ref="J42:O42">J8+J25+J27+J29+J31+J33+J35+J37+J40</f>
        <v>1977150</v>
      </c>
      <c r="K42" s="28">
        <f t="shared" si="20"/>
        <v>11533375</v>
      </c>
      <c r="L42" s="28">
        <f t="shared" si="20"/>
        <v>13510525</v>
      </c>
      <c r="M42" s="28">
        <f t="shared" si="20"/>
        <v>988575</v>
      </c>
      <c r="N42" s="28">
        <f t="shared" si="20"/>
        <v>5272400</v>
      </c>
      <c r="O42" s="28">
        <f t="shared" si="20"/>
        <v>6260975</v>
      </c>
      <c r="P42" s="28"/>
      <c r="Q42" s="28"/>
      <c r="R42" s="28"/>
      <c r="S42" s="18"/>
      <c r="T42" s="18"/>
    </row>
    <row r="43" spans="3:15" ht="15.75">
      <c r="C43" s="47">
        <f>C8+C37+D45</f>
        <v>49.94</v>
      </c>
      <c r="D43" s="36">
        <f>C41+C36+C34+C32+C30</f>
        <v>10.67</v>
      </c>
      <c r="E43" s="48"/>
      <c r="J43" s="156"/>
      <c r="K43" s="156"/>
      <c r="L43" s="52"/>
      <c r="M43" s="156"/>
      <c r="N43" s="156"/>
      <c r="O43" s="58"/>
    </row>
    <row r="44" spans="1:15" ht="15.75">
      <c r="A44" s="158"/>
      <c r="B44" s="158"/>
      <c r="C44" s="8">
        <f>C8+C25+C37+D43+C27</f>
        <v>49.660000000000004</v>
      </c>
      <c r="D44" s="36">
        <f>0.7*6</f>
        <v>4.199999999999999</v>
      </c>
      <c r="E44" s="36"/>
      <c r="F44" s="5"/>
      <c r="G44" s="5"/>
      <c r="H44" s="5"/>
      <c r="I44" s="5"/>
      <c r="J44" s="158"/>
      <c r="K44" s="158"/>
      <c r="L44" s="53"/>
      <c r="M44" s="158"/>
      <c r="N44" s="158"/>
      <c r="O44" s="59"/>
    </row>
    <row r="45" spans="4:6" ht="17.25">
      <c r="D45" s="49">
        <f>SUM(D43:D44)</f>
        <v>14.87</v>
      </c>
      <c r="E45" s="36">
        <f>13.68</f>
        <v>13.68</v>
      </c>
      <c r="F45" s="38">
        <f>D45-E45</f>
        <v>1.1899999999999995</v>
      </c>
    </row>
    <row r="47" ht="15.75">
      <c r="D47" s="6">
        <v>2.76</v>
      </c>
    </row>
    <row r="48" ht="15.75">
      <c r="D48" s="6">
        <v>2.56</v>
      </c>
    </row>
    <row r="49" ht="15.75">
      <c r="D49" s="6">
        <v>2.56</v>
      </c>
    </row>
    <row r="50" ht="15.75">
      <c r="D50" s="6">
        <v>2.45</v>
      </c>
    </row>
    <row r="51" ht="15.75">
      <c r="D51" s="6">
        <v>3.35</v>
      </c>
    </row>
    <row r="53" ht="15.75">
      <c r="D53" s="50">
        <f>SUM(D47:D52)</f>
        <v>13.680000000000001</v>
      </c>
    </row>
  </sheetData>
  <sheetProtection/>
  <mergeCells count="24">
    <mergeCell ref="M43:N43"/>
    <mergeCell ref="G4:H4"/>
    <mergeCell ref="A44:B44"/>
    <mergeCell ref="J44:K44"/>
    <mergeCell ref="M44:N44"/>
    <mergeCell ref="J43:K43"/>
    <mergeCell ref="T4:T6"/>
    <mergeCell ref="C5:C6"/>
    <mergeCell ref="M4:O5"/>
    <mergeCell ref="D5:D6"/>
    <mergeCell ref="E5:F5"/>
    <mergeCell ref="G5:H5"/>
    <mergeCell ref="J4:L5"/>
    <mergeCell ref="I4:I6"/>
    <mergeCell ref="A1:T1"/>
    <mergeCell ref="P4:P6"/>
    <mergeCell ref="Q4:Q6"/>
    <mergeCell ref="R4:R6"/>
    <mergeCell ref="S4:S6"/>
    <mergeCell ref="A2:T2"/>
    <mergeCell ref="A4:A6"/>
    <mergeCell ref="B4:B6"/>
    <mergeCell ref="C4:D4"/>
    <mergeCell ref="E4:F4"/>
  </mergeCells>
  <printOptions horizontalCentered="1"/>
  <pageMargins left="0.25" right="0.25" top="0.5" bottom="0.5" header="0.39" footer="0.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0"/>
  <sheetViews>
    <sheetView view="pageBreakPreview" zoomScale="90" zoomScaleNormal="90" zoomScaleSheetLayoutView="90" zoomScalePageLayoutView="0" workbookViewId="0" topLeftCell="A27">
      <selection activeCell="K42" sqref="K42"/>
    </sheetView>
  </sheetViews>
  <sheetFormatPr defaultColWidth="9.00390625" defaultRowHeight="15.75"/>
  <cols>
    <col min="1" max="1" width="3.50390625" style="6" customWidth="1"/>
    <col min="2" max="2" width="15.875" style="6" customWidth="1"/>
    <col min="3" max="3" width="8.00390625" style="6" customWidth="1"/>
    <col min="4" max="4" width="10.875" style="6" customWidth="1"/>
    <col min="5" max="5" width="6.00390625" style="7" customWidth="1"/>
    <col min="6" max="6" width="8.75390625" style="6" customWidth="1"/>
    <col min="7" max="7" width="6.625" style="7" customWidth="1"/>
    <col min="8" max="9" width="9.625" style="6" customWidth="1"/>
    <col min="10" max="10" width="11.125" style="6" customWidth="1"/>
    <col min="11" max="11" width="11.375" style="6" customWidth="1"/>
    <col min="12" max="12" width="11.125" style="51" customWidth="1"/>
    <col min="13" max="13" width="11.00390625" style="6" customWidth="1"/>
    <col min="14" max="14" width="11.50390625" style="6" customWidth="1"/>
    <col min="15" max="15" width="11.00390625" style="56" customWidth="1"/>
    <col min="16" max="16" width="10.875" style="6" customWidth="1"/>
    <col min="17" max="17" width="8.50390625" style="6" customWidth="1"/>
    <col min="18" max="19" width="11.00390625" style="6" customWidth="1"/>
    <col min="20" max="20" width="10.375" style="6" customWidth="1"/>
    <col min="21" max="21" width="11.125" style="6" bestFit="1" customWidth="1"/>
    <col min="22" max="16384" width="9.00390625" style="6" customWidth="1"/>
  </cols>
  <sheetData>
    <row r="1" spans="1:22" ht="21.75" customHeight="1">
      <c r="A1" s="158" t="s">
        <v>106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37"/>
      <c r="V1" s="37"/>
    </row>
    <row r="2" spans="1:20" ht="16.5" customHeight="1">
      <c r="A2" s="158" t="s">
        <v>209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15" ht="15.75">
      <c r="A3" s="6" t="s">
        <v>53</v>
      </c>
      <c r="D3" s="38"/>
      <c r="E3" s="39"/>
      <c r="F3" s="40"/>
      <c r="L3" s="6"/>
      <c r="O3" s="6"/>
    </row>
    <row r="4" spans="1:20" ht="15.75" customHeight="1">
      <c r="A4" s="171" t="s">
        <v>14</v>
      </c>
      <c r="B4" s="171" t="s">
        <v>24</v>
      </c>
      <c r="C4" s="174" t="s">
        <v>7</v>
      </c>
      <c r="D4" s="175"/>
      <c r="E4" s="157"/>
      <c r="F4" s="157"/>
      <c r="G4" s="157"/>
      <c r="H4" s="157"/>
      <c r="I4" s="159" t="s">
        <v>31</v>
      </c>
      <c r="J4" s="162" t="s">
        <v>22</v>
      </c>
      <c r="K4" s="163"/>
      <c r="L4" s="164"/>
      <c r="M4" s="162" t="s">
        <v>21</v>
      </c>
      <c r="N4" s="163"/>
      <c r="O4" s="164"/>
      <c r="P4" s="159" t="s">
        <v>29</v>
      </c>
      <c r="Q4" s="159" t="s">
        <v>30</v>
      </c>
      <c r="R4" s="159" t="s">
        <v>32</v>
      </c>
      <c r="S4" s="159" t="s">
        <v>33</v>
      </c>
      <c r="T4" s="159" t="s">
        <v>16</v>
      </c>
    </row>
    <row r="5" spans="1:20" ht="30" customHeight="1">
      <c r="A5" s="172"/>
      <c r="B5" s="172"/>
      <c r="C5" s="159" t="s">
        <v>9</v>
      </c>
      <c r="D5" s="159" t="s">
        <v>8</v>
      </c>
      <c r="E5" s="168" t="s">
        <v>23</v>
      </c>
      <c r="F5" s="169"/>
      <c r="G5" s="168" t="s">
        <v>10</v>
      </c>
      <c r="H5" s="170"/>
      <c r="I5" s="160"/>
      <c r="J5" s="165"/>
      <c r="K5" s="166"/>
      <c r="L5" s="167"/>
      <c r="M5" s="165"/>
      <c r="N5" s="166"/>
      <c r="O5" s="167"/>
      <c r="P5" s="160"/>
      <c r="Q5" s="160"/>
      <c r="R5" s="160"/>
      <c r="S5" s="160"/>
      <c r="T5" s="160"/>
    </row>
    <row r="6" spans="1:20" ht="79.5" customHeight="1">
      <c r="A6" s="173"/>
      <c r="B6" s="173"/>
      <c r="C6" s="161"/>
      <c r="D6" s="161"/>
      <c r="E6" s="2" t="s">
        <v>11</v>
      </c>
      <c r="F6" s="2" t="s">
        <v>8</v>
      </c>
      <c r="G6" s="2" t="s">
        <v>11</v>
      </c>
      <c r="H6" s="30" t="s">
        <v>8</v>
      </c>
      <c r="I6" s="161"/>
      <c r="J6" s="3" t="s">
        <v>17</v>
      </c>
      <c r="K6" s="3" t="s">
        <v>222</v>
      </c>
      <c r="L6" s="4" t="s">
        <v>13</v>
      </c>
      <c r="M6" s="3" t="s">
        <v>18</v>
      </c>
      <c r="N6" s="3" t="s">
        <v>19</v>
      </c>
      <c r="O6" s="57" t="s">
        <v>13</v>
      </c>
      <c r="P6" s="160"/>
      <c r="Q6" s="161"/>
      <c r="R6" s="161"/>
      <c r="S6" s="161"/>
      <c r="T6" s="161"/>
    </row>
    <row r="7" spans="1:20" ht="18.75" customHeight="1">
      <c r="A7" s="54" t="s">
        <v>34</v>
      </c>
      <c r="B7" s="54" t="s">
        <v>35</v>
      </c>
      <c r="C7" s="54" t="s">
        <v>36</v>
      </c>
      <c r="D7" s="54" t="s">
        <v>37</v>
      </c>
      <c r="E7" s="54" t="s">
        <v>38</v>
      </c>
      <c r="F7" s="54" t="s">
        <v>39</v>
      </c>
      <c r="G7" s="54" t="s">
        <v>40</v>
      </c>
      <c r="H7" s="54" t="s">
        <v>41</v>
      </c>
      <c r="I7" s="54" t="s">
        <v>42</v>
      </c>
      <c r="J7" s="55" t="s">
        <v>43</v>
      </c>
      <c r="K7" s="55" t="s">
        <v>44</v>
      </c>
      <c r="L7" s="55" t="s">
        <v>45</v>
      </c>
      <c r="M7" s="55" t="s">
        <v>46</v>
      </c>
      <c r="N7" s="55" t="s">
        <v>47</v>
      </c>
      <c r="O7" s="55" t="s">
        <v>48</v>
      </c>
      <c r="P7" s="55" t="s">
        <v>15</v>
      </c>
      <c r="Q7" s="54" t="s">
        <v>49</v>
      </c>
      <c r="R7" s="54" t="s">
        <v>50</v>
      </c>
      <c r="S7" s="54" t="s">
        <v>51</v>
      </c>
      <c r="T7" s="54" t="s">
        <v>52</v>
      </c>
    </row>
    <row r="8" spans="1:20" ht="15.75">
      <c r="A8" s="16"/>
      <c r="B8" s="17" t="s">
        <v>0</v>
      </c>
      <c r="C8" s="41">
        <f aca="true" t="shared" si="0" ref="C8:H8">SUM(C9:C24)</f>
        <v>32.21</v>
      </c>
      <c r="D8" s="42">
        <f t="shared" si="0"/>
        <v>41873000</v>
      </c>
      <c r="E8" s="64">
        <f t="shared" si="0"/>
        <v>0</v>
      </c>
      <c r="F8" s="42">
        <f t="shared" si="0"/>
        <v>0</v>
      </c>
      <c r="G8" s="15">
        <f t="shared" si="0"/>
        <v>0.8999999999999999</v>
      </c>
      <c r="H8" s="9">
        <f t="shared" si="0"/>
        <v>1170000</v>
      </c>
      <c r="I8" s="9"/>
      <c r="J8" s="42">
        <f aca="true" t="shared" si="1" ref="J8:O8">SUM(J9:J24)</f>
        <v>1291290</v>
      </c>
      <c r="K8" s="42">
        <f t="shared" si="1"/>
        <v>7532525</v>
      </c>
      <c r="L8" s="42">
        <f t="shared" si="1"/>
        <v>8823815</v>
      </c>
      <c r="M8" s="42">
        <f t="shared" si="1"/>
        <v>645645</v>
      </c>
      <c r="N8" s="42">
        <f t="shared" si="1"/>
        <v>3443440</v>
      </c>
      <c r="O8" s="42">
        <f t="shared" si="1"/>
        <v>4089085</v>
      </c>
      <c r="P8" s="42"/>
      <c r="Q8" s="42"/>
      <c r="R8" s="42"/>
      <c r="S8" s="43"/>
      <c r="T8" s="16"/>
    </row>
    <row r="9" spans="1:20" ht="15.75">
      <c r="A9" s="21" t="s">
        <v>34</v>
      </c>
      <c r="B9" s="1" t="s">
        <v>108</v>
      </c>
      <c r="C9" s="22">
        <v>2.46</v>
      </c>
      <c r="D9" s="44">
        <f>C9*I9</f>
        <v>3198000</v>
      </c>
      <c r="E9" s="78"/>
      <c r="F9" s="45">
        <f>E9*I9</f>
        <v>0</v>
      </c>
      <c r="G9" s="22">
        <v>0.25</v>
      </c>
      <c r="H9" s="45">
        <f>G9*I9</f>
        <v>325000</v>
      </c>
      <c r="I9" s="45">
        <v>1300000</v>
      </c>
      <c r="J9" s="44">
        <f aca="true" t="shared" si="2" ref="J9:J22">(D9+F9+H9)*3%</f>
        <v>105690</v>
      </c>
      <c r="K9" s="44">
        <f>(D9+F9+H9)*17.5%</f>
        <v>616525</v>
      </c>
      <c r="L9" s="44">
        <f aca="true" t="shared" si="3" ref="L9:L22">J9+K9</f>
        <v>722215</v>
      </c>
      <c r="M9" s="44">
        <f aca="true" t="shared" si="4" ref="M9:M22">(D9+F9+H9)*1.5%</f>
        <v>52845</v>
      </c>
      <c r="N9" s="44">
        <f aca="true" t="shared" si="5" ref="N9:N22">(D9+F9+H9)*8%</f>
        <v>281840</v>
      </c>
      <c r="O9" s="44">
        <f aca="true" t="shared" si="6" ref="O9:O22">M9+N9</f>
        <v>334685</v>
      </c>
      <c r="P9" s="44"/>
      <c r="Q9" s="44"/>
      <c r="R9" s="44"/>
      <c r="S9" s="16"/>
      <c r="T9" s="16"/>
    </row>
    <row r="10" spans="1:20" ht="15.75">
      <c r="A10" s="21" t="s">
        <v>35</v>
      </c>
      <c r="B10" s="18" t="s">
        <v>109</v>
      </c>
      <c r="C10" s="22">
        <v>2.46</v>
      </c>
      <c r="D10" s="44">
        <f aca="true" t="shared" si="7" ref="D10:D22">C10*I10</f>
        <v>3198000</v>
      </c>
      <c r="E10" s="12"/>
      <c r="F10" s="45">
        <f aca="true" t="shared" si="8" ref="F10:F22">(E10*1150000)</f>
        <v>0</v>
      </c>
      <c r="G10" s="22">
        <v>0.2</v>
      </c>
      <c r="H10" s="45">
        <f>G10*I10</f>
        <v>260000</v>
      </c>
      <c r="I10" s="45">
        <v>1300000</v>
      </c>
      <c r="J10" s="44">
        <f t="shared" si="2"/>
        <v>103740</v>
      </c>
      <c r="K10" s="44">
        <f aca="true" t="shared" si="9" ref="K10:K22">(D10+F10+H10)*17.5%</f>
        <v>605150</v>
      </c>
      <c r="L10" s="44">
        <f t="shared" si="3"/>
        <v>708890</v>
      </c>
      <c r="M10" s="44">
        <f t="shared" si="4"/>
        <v>51870</v>
      </c>
      <c r="N10" s="44">
        <f t="shared" si="5"/>
        <v>276640</v>
      </c>
      <c r="O10" s="44">
        <f t="shared" si="6"/>
        <v>328510</v>
      </c>
      <c r="P10" s="44"/>
      <c r="Q10" s="44"/>
      <c r="R10" s="44"/>
      <c r="S10" s="18"/>
      <c r="T10" s="18"/>
    </row>
    <row r="11" spans="1:20" ht="15.75">
      <c r="A11" s="21" t="s">
        <v>36</v>
      </c>
      <c r="B11" s="18" t="s">
        <v>110</v>
      </c>
      <c r="C11" s="22">
        <v>2.66</v>
      </c>
      <c r="D11" s="44">
        <f t="shared" si="7"/>
        <v>3458000</v>
      </c>
      <c r="E11" s="22"/>
      <c r="F11" s="45">
        <f t="shared" si="8"/>
        <v>0</v>
      </c>
      <c r="G11" s="22">
        <v>0.25</v>
      </c>
      <c r="H11" s="45">
        <f>G11*I11</f>
        <v>325000</v>
      </c>
      <c r="I11" s="45">
        <v>1300000</v>
      </c>
      <c r="J11" s="44">
        <f t="shared" si="2"/>
        <v>113490</v>
      </c>
      <c r="K11" s="44">
        <f t="shared" si="9"/>
        <v>662025</v>
      </c>
      <c r="L11" s="44">
        <f t="shared" si="3"/>
        <v>775515</v>
      </c>
      <c r="M11" s="44">
        <f t="shared" si="4"/>
        <v>56745</v>
      </c>
      <c r="N11" s="44">
        <f t="shared" si="5"/>
        <v>302640</v>
      </c>
      <c r="O11" s="44">
        <f t="shared" si="6"/>
        <v>359385</v>
      </c>
      <c r="P11" s="44"/>
      <c r="Q11" s="44"/>
      <c r="R11" s="44"/>
      <c r="S11" s="18"/>
      <c r="T11" s="18"/>
    </row>
    <row r="12" spans="1:20" ht="15.75">
      <c r="A12" s="21" t="s">
        <v>37</v>
      </c>
      <c r="B12" s="18" t="s">
        <v>111</v>
      </c>
      <c r="C12" s="22">
        <v>2.34</v>
      </c>
      <c r="D12" s="44">
        <f t="shared" si="7"/>
        <v>3042000</v>
      </c>
      <c r="E12" s="12"/>
      <c r="F12" s="45">
        <f t="shared" si="8"/>
        <v>0</v>
      </c>
      <c r="G12" s="22">
        <v>0.2</v>
      </c>
      <c r="H12" s="45">
        <f>G12*I12</f>
        <v>260000</v>
      </c>
      <c r="I12" s="45">
        <v>1300000</v>
      </c>
      <c r="J12" s="44">
        <f t="shared" si="2"/>
        <v>99060</v>
      </c>
      <c r="K12" s="44">
        <f t="shared" si="9"/>
        <v>577850</v>
      </c>
      <c r="L12" s="44">
        <f t="shared" si="3"/>
        <v>676910</v>
      </c>
      <c r="M12" s="44">
        <f t="shared" si="4"/>
        <v>49530</v>
      </c>
      <c r="N12" s="44">
        <f t="shared" si="5"/>
        <v>264160</v>
      </c>
      <c r="O12" s="44">
        <f t="shared" si="6"/>
        <v>313690</v>
      </c>
      <c r="P12" s="44"/>
      <c r="Q12" s="44"/>
      <c r="R12" s="44"/>
      <c r="S12" s="18"/>
      <c r="T12" s="18"/>
    </row>
    <row r="13" spans="1:20" ht="15.75">
      <c r="A13" s="21" t="s">
        <v>38</v>
      </c>
      <c r="B13" s="18" t="s">
        <v>112</v>
      </c>
      <c r="C13" s="22">
        <v>3</v>
      </c>
      <c r="D13" s="44">
        <f t="shared" si="7"/>
        <v>3900000</v>
      </c>
      <c r="E13" s="12"/>
      <c r="F13" s="45">
        <f t="shared" si="8"/>
        <v>0</v>
      </c>
      <c r="G13" s="22"/>
      <c r="H13" s="45">
        <f>G13*I13</f>
        <v>0</v>
      </c>
      <c r="I13" s="45">
        <v>1300000</v>
      </c>
      <c r="J13" s="44">
        <f t="shared" si="2"/>
        <v>117000</v>
      </c>
      <c r="K13" s="44">
        <f t="shared" si="9"/>
        <v>682500</v>
      </c>
      <c r="L13" s="44">
        <f t="shared" si="3"/>
        <v>799500</v>
      </c>
      <c r="M13" s="44">
        <f t="shared" si="4"/>
        <v>58500</v>
      </c>
      <c r="N13" s="44">
        <f t="shared" si="5"/>
        <v>312000</v>
      </c>
      <c r="O13" s="44">
        <f t="shared" si="6"/>
        <v>370500</v>
      </c>
      <c r="P13" s="44"/>
      <c r="Q13" s="44"/>
      <c r="R13" s="44"/>
      <c r="S13" s="18"/>
      <c r="T13" s="18"/>
    </row>
    <row r="14" spans="1:20" ht="15.75">
      <c r="A14" s="21" t="s">
        <v>39</v>
      </c>
      <c r="B14" s="18" t="s">
        <v>113</v>
      </c>
      <c r="C14" s="22">
        <v>2.06</v>
      </c>
      <c r="D14" s="44">
        <f t="shared" si="7"/>
        <v>2678000</v>
      </c>
      <c r="E14" s="12"/>
      <c r="F14" s="45">
        <f t="shared" si="8"/>
        <v>0</v>
      </c>
      <c r="G14" s="22"/>
      <c r="H14" s="45">
        <f aca="true" t="shared" si="10" ref="H14:H22">(G14*1150000)</f>
        <v>0</v>
      </c>
      <c r="I14" s="45">
        <v>1300000</v>
      </c>
      <c r="J14" s="44">
        <f t="shared" si="2"/>
        <v>80340</v>
      </c>
      <c r="K14" s="44">
        <f t="shared" si="9"/>
        <v>468649.99999999994</v>
      </c>
      <c r="L14" s="44">
        <f t="shared" si="3"/>
        <v>548990</v>
      </c>
      <c r="M14" s="44">
        <f t="shared" si="4"/>
        <v>40170</v>
      </c>
      <c r="N14" s="44">
        <f t="shared" si="5"/>
        <v>214240</v>
      </c>
      <c r="O14" s="44">
        <f t="shared" si="6"/>
        <v>254410</v>
      </c>
      <c r="P14" s="44"/>
      <c r="Q14" s="44"/>
      <c r="R14" s="44"/>
      <c r="S14" s="18"/>
      <c r="T14" s="18"/>
    </row>
    <row r="15" spans="1:20" ht="15.75">
      <c r="A15" s="21" t="s">
        <v>40</v>
      </c>
      <c r="B15" s="18" t="s">
        <v>114</v>
      </c>
      <c r="C15" s="22">
        <v>2.86</v>
      </c>
      <c r="D15" s="44">
        <f t="shared" si="7"/>
        <v>3718000</v>
      </c>
      <c r="E15" s="12"/>
      <c r="F15" s="45">
        <f t="shared" si="8"/>
        <v>0</v>
      </c>
      <c r="G15" s="22"/>
      <c r="H15" s="45">
        <f t="shared" si="10"/>
        <v>0</v>
      </c>
      <c r="I15" s="45">
        <v>1300000</v>
      </c>
      <c r="J15" s="44">
        <f t="shared" si="2"/>
        <v>111540</v>
      </c>
      <c r="K15" s="44">
        <f t="shared" si="9"/>
        <v>650650</v>
      </c>
      <c r="L15" s="44">
        <f t="shared" si="3"/>
        <v>762190</v>
      </c>
      <c r="M15" s="44">
        <f t="shared" si="4"/>
        <v>55770</v>
      </c>
      <c r="N15" s="44">
        <f t="shared" si="5"/>
        <v>297440</v>
      </c>
      <c r="O15" s="44">
        <f t="shared" si="6"/>
        <v>353210</v>
      </c>
      <c r="P15" s="44"/>
      <c r="Q15" s="44"/>
      <c r="R15" s="44"/>
      <c r="S15" s="18"/>
      <c r="T15" s="18"/>
    </row>
    <row r="16" spans="1:20" ht="15.75">
      <c r="A16" s="21" t="s">
        <v>41</v>
      </c>
      <c r="B16" s="18" t="s">
        <v>115</v>
      </c>
      <c r="C16" s="22">
        <v>2.46</v>
      </c>
      <c r="D16" s="44">
        <f t="shared" si="7"/>
        <v>3198000</v>
      </c>
      <c r="E16" s="12"/>
      <c r="F16" s="45">
        <f t="shared" si="8"/>
        <v>0</v>
      </c>
      <c r="G16" s="22"/>
      <c r="H16" s="45">
        <f t="shared" si="10"/>
        <v>0</v>
      </c>
      <c r="I16" s="45">
        <v>1300000</v>
      </c>
      <c r="J16" s="44">
        <f t="shared" si="2"/>
        <v>95940</v>
      </c>
      <c r="K16" s="44">
        <f t="shared" si="9"/>
        <v>559650</v>
      </c>
      <c r="L16" s="44">
        <f t="shared" si="3"/>
        <v>655590</v>
      </c>
      <c r="M16" s="44">
        <f t="shared" si="4"/>
        <v>47970</v>
      </c>
      <c r="N16" s="44">
        <f t="shared" si="5"/>
        <v>255840</v>
      </c>
      <c r="O16" s="44">
        <f t="shared" si="6"/>
        <v>303810</v>
      </c>
      <c r="P16" s="44"/>
      <c r="Q16" s="44"/>
      <c r="R16" s="44"/>
      <c r="S16" s="18"/>
      <c r="T16" s="18"/>
    </row>
    <row r="17" spans="1:20" ht="15.75">
      <c r="A17" s="21"/>
      <c r="B17" s="18"/>
      <c r="C17" s="22"/>
      <c r="D17" s="44">
        <f t="shared" si="7"/>
        <v>0</v>
      </c>
      <c r="E17" s="12"/>
      <c r="F17" s="45">
        <f t="shared" si="8"/>
        <v>0</v>
      </c>
      <c r="G17" s="22"/>
      <c r="H17" s="45">
        <f t="shared" si="10"/>
        <v>0</v>
      </c>
      <c r="I17" s="45"/>
      <c r="J17" s="44">
        <f t="shared" si="2"/>
        <v>0</v>
      </c>
      <c r="K17" s="44">
        <f t="shared" si="9"/>
        <v>0</v>
      </c>
      <c r="L17" s="44">
        <f t="shared" si="3"/>
        <v>0</v>
      </c>
      <c r="M17" s="44">
        <f t="shared" si="4"/>
        <v>0</v>
      </c>
      <c r="N17" s="44">
        <f t="shared" si="5"/>
        <v>0</v>
      </c>
      <c r="O17" s="44">
        <f t="shared" si="6"/>
        <v>0</v>
      </c>
      <c r="P17" s="44"/>
      <c r="Q17" s="44"/>
      <c r="R17" s="44"/>
      <c r="S17" s="18"/>
      <c r="T17" s="18"/>
    </row>
    <row r="18" spans="1:20" ht="15.75">
      <c r="A18" s="21">
        <v>9</v>
      </c>
      <c r="B18" s="18" t="s">
        <v>116</v>
      </c>
      <c r="C18" s="22">
        <v>2.26</v>
      </c>
      <c r="D18" s="44">
        <f t="shared" si="7"/>
        <v>2937999.9999999995</v>
      </c>
      <c r="E18" s="12"/>
      <c r="F18" s="45">
        <f t="shared" si="8"/>
        <v>0</v>
      </c>
      <c r="G18" s="22"/>
      <c r="H18" s="45">
        <f t="shared" si="10"/>
        <v>0</v>
      </c>
      <c r="I18" s="45">
        <v>1300000</v>
      </c>
      <c r="J18" s="44">
        <f t="shared" si="2"/>
        <v>88139.99999999999</v>
      </c>
      <c r="K18" s="44">
        <f t="shared" si="9"/>
        <v>514149.9999999999</v>
      </c>
      <c r="L18" s="44">
        <f t="shared" si="3"/>
        <v>602289.9999999999</v>
      </c>
      <c r="M18" s="44">
        <f t="shared" si="4"/>
        <v>44069.99999999999</v>
      </c>
      <c r="N18" s="44">
        <f t="shared" si="5"/>
        <v>235039.99999999997</v>
      </c>
      <c r="O18" s="44">
        <f t="shared" si="6"/>
        <v>279109.99999999994</v>
      </c>
      <c r="P18" s="44"/>
      <c r="Q18" s="44"/>
      <c r="R18" s="44"/>
      <c r="S18" s="18"/>
      <c r="T18" s="18"/>
    </row>
    <row r="19" spans="1:20" ht="15.75">
      <c r="A19" s="21">
        <v>10</v>
      </c>
      <c r="B19" s="18" t="s">
        <v>117</v>
      </c>
      <c r="C19" s="22">
        <v>2.46</v>
      </c>
      <c r="D19" s="44">
        <f t="shared" si="7"/>
        <v>3198000</v>
      </c>
      <c r="E19" s="12"/>
      <c r="F19" s="45">
        <f t="shared" si="8"/>
        <v>0</v>
      </c>
      <c r="G19" s="22"/>
      <c r="H19" s="45">
        <f t="shared" si="10"/>
        <v>0</v>
      </c>
      <c r="I19" s="45">
        <v>1300000</v>
      </c>
      <c r="J19" s="44">
        <f t="shared" si="2"/>
        <v>95940</v>
      </c>
      <c r="K19" s="44">
        <f t="shared" si="9"/>
        <v>559650</v>
      </c>
      <c r="L19" s="44">
        <f t="shared" si="3"/>
        <v>655590</v>
      </c>
      <c r="M19" s="44">
        <f t="shared" si="4"/>
        <v>47970</v>
      </c>
      <c r="N19" s="44">
        <f t="shared" si="5"/>
        <v>255840</v>
      </c>
      <c r="O19" s="44">
        <f t="shared" si="6"/>
        <v>303810</v>
      </c>
      <c r="P19" s="44"/>
      <c r="Q19" s="44"/>
      <c r="R19" s="44"/>
      <c r="S19" s="18"/>
      <c r="T19" s="18"/>
    </row>
    <row r="20" spans="1:20" ht="15.75">
      <c r="A20" s="21">
        <v>11</v>
      </c>
      <c r="B20" s="18" t="s">
        <v>118</v>
      </c>
      <c r="C20" s="22">
        <v>2.46</v>
      </c>
      <c r="D20" s="44">
        <f t="shared" si="7"/>
        <v>3198000</v>
      </c>
      <c r="E20" s="12"/>
      <c r="F20" s="45">
        <f t="shared" si="8"/>
        <v>0</v>
      </c>
      <c r="G20" s="22"/>
      <c r="H20" s="45">
        <f t="shared" si="10"/>
        <v>0</v>
      </c>
      <c r="I20" s="45">
        <v>1300000</v>
      </c>
      <c r="J20" s="44">
        <f t="shared" si="2"/>
        <v>95940</v>
      </c>
      <c r="K20" s="44">
        <f t="shared" si="9"/>
        <v>559650</v>
      </c>
      <c r="L20" s="44">
        <f t="shared" si="3"/>
        <v>655590</v>
      </c>
      <c r="M20" s="44">
        <f t="shared" si="4"/>
        <v>47970</v>
      </c>
      <c r="N20" s="44">
        <f t="shared" si="5"/>
        <v>255840</v>
      </c>
      <c r="O20" s="44">
        <f t="shared" si="6"/>
        <v>303810</v>
      </c>
      <c r="P20" s="44"/>
      <c r="Q20" s="44"/>
      <c r="R20" s="44"/>
      <c r="S20" s="18"/>
      <c r="T20" s="18"/>
    </row>
    <row r="21" spans="1:20" ht="15.75">
      <c r="A21" s="21">
        <v>12</v>
      </c>
      <c r="B21" s="18" t="s">
        <v>119</v>
      </c>
      <c r="C21" s="22">
        <v>2.06</v>
      </c>
      <c r="D21" s="44">
        <f t="shared" si="7"/>
        <v>2678000</v>
      </c>
      <c r="E21" s="12"/>
      <c r="F21" s="45">
        <f t="shared" si="8"/>
        <v>0</v>
      </c>
      <c r="G21" s="22"/>
      <c r="H21" s="45">
        <f t="shared" si="10"/>
        <v>0</v>
      </c>
      <c r="I21" s="45">
        <v>1300000</v>
      </c>
      <c r="J21" s="44">
        <f t="shared" si="2"/>
        <v>80340</v>
      </c>
      <c r="K21" s="44">
        <f t="shared" si="9"/>
        <v>468649.99999999994</v>
      </c>
      <c r="L21" s="44">
        <f t="shared" si="3"/>
        <v>548990</v>
      </c>
      <c r="M21" s="44">
        <f t="shared" si="4"/>
        <v>40170</v>
      </c>
      <c r="N21" s="44">
        <f t="shared" si="5"/>
        <v>214240</v>
      </c>
      <c r="O21" s="44">
        <f t="shared" si="6"/>
        <v>254410</v>
      </c>
      <c r="P21" s="44"/>
      <c r="Q21" s="44"/>
      <c r="R21" s="44"/>
      <c r="S21" s="18"/>
      <c r="T21" s="18"/>
    </row>
    <row r="22" spans="1:20" ht="15.75">
      <c r="A22" s="21">
        <v>13</v>
      </c>
      <c r="B22" s="18" t="s">
        <v>120</v>
      </c>
      <c r="C22" s="22">
        <v>2.67</v>
      </c>
      <c r="D22" s="44">
        <f t="shared" si="7"/>
        <v>3471000</v>
      </c>
      <c r="E22" s="12"/>
      <c r="F22" s="45">
        <f t="shared" si="8"/>
        <v>0</v>
      </c>
      <c r="G22" s="22"/>
      <c r="H22" s="45">
        <f t="shared" si="10"/>
        <v>0</v>
      </c>
      <c r="I22" s="45">
        <v>1300000</v>
      </c>
      <c r="J22" s="44">
        <f t="shared" si="2"/>
        <v>104130</v>
      </c>
      <c r="K22" s="44">
        <f t="shared" si="9"/>
        <v>607425</v>
      </c>
      <c r="L22" s="44">
        <f t="shared" si="3"/>
        <v>711555</v>
      </c>
      <c r="M22" s="44">
        <f t="shared" si="4"/>
        <v>52065</v>
      </c>
      <c r="N22" s="44">
        <f t="shared" si="5"/>
        <v>277680</v>
      </c>
      <c r="O22" s="44">
        <f t="shared" si="6"/>
        <v>329745</v>
      </c>
      <c r="P22" s="44"/>
      <c r="Q22" s="44"/>
      <c r="R22" s="44"/>
      <c r="S22" s="18"/>
      <c r="T22" s="18"/>
    </row>
    <row r="23" spans="1:20" ht="15.75">
      <c r="A23" s="21"/>
      <c r="B23" s="18"/>
      <c r="C23" s="22"/>
      <c r="D23" s="44"/>
      <c r="E23" s="12"/>
      <c r="F23" s="45"/>
      <c r="G23" s="22"/>
      <c r="H23" s="45"/>
      <c r="I23" s="45"/>
      <c r="J23" s="44"/>
      <c r="K23" s="44"/>
      <c r="L23" s="44"/>
      <c r="M23" s="44"/>
      <c r="N23" s="44"/>
      <c r="O23" s="44"/>
      <c r="P23" s="44"/>
      <c r="Q23" s="44"/>
      <c r="R23" s="44"/>
      <c r="S23" s="18"/>
      <c r="T23" s="18"/>
    </row>
    <row r="24" spans="1:20" ht="15.75">
      <c r="A24" s="21"/>
      <c r="B24" s="18"/>
      <c r="C24" s="22"/>
      <c r="D24" s="44"/>
      <c r="E24" s="12"/>
      <c r="F24" s="45"/>
      <c r="G24" s="22"/>
      <c r="H24" s="45"/>
      <c r="I24" s="45"/>
      <c r="J24" s="44"/>
      <c r="K24" s="44"/>
      <c r="L24" s="44"/>
      <c r="M24" s="44"/>
      <c r="N24" s="44"/>
      <c r="O24" s="44"/>
      <c r="P24" s="44"/>
      <c r="Q24" s="44"/>
      <c r="R24" s="44"/>
      <c r="S24" s="18"/>
      <c r="T24" s="18"/>
    </row>
    <row r="25" spans="1:20" ht="20.25" customHeight="1">
      <c r="A25" s="16"/>
      <c r="B25" s="19" t="s">
        <v>1</v>
      </c>
      <c r="C25" s="20">
        <v>1.86</v>
      </c>
      <c r="D25" s="46">
        <f>D26</f>
        <v>2139000</v>
      </c>
      <c r="E25" s="9">
        <f>E26</f>
        <v>0</v>
      </c>
      <c r="F25" s="9">
        <f>F26</f>
        <v>0</v>
      </c>
      <c r="G25" s="9">
        <f>G26</f>
        <v>0</v>
      </c>
      <c r="H25" s="46"/>
      <c r="I25" s="45">
        <v>1300000</v>
      </c>
      <c r="J25" s="46">
        <f aca="true" t="shared" si="11" ref="J25:O25">J26</f>
        <v>64170</v>
      </c>
      <c r="K25" s="46">
        <f t="shared" si="11"/>
        <v>374325</v>
      </c>
      <c r="L25" s="46">
        <f t="shared" si="11"/>
        <v>438495</v>
      </c>
      <c r="M25" s="46">
        <f t="shared" si="11"/>
        <v>32085</v>
      </c>
      <c r="N25" s="46">
        <f t="shared" si="11"/>
        <v>171120</v>
      </c>
      <c r="O25" s="46">
        <f t="shared" si="11"/>
        <v>203205</v>
      </c>
      <c r="P25" s="46"/>
      <c r="Q25" s="46"/>
      <c r="R25" s="46"/>
      <c r="S25" s="23"/>
      <c r="T25" s="23"/>
    </row>
    <row r="26" spans="1:20" ht="20.25" customHeight="1">
      <c r="A26" s="21">
        <v>14</v>
      </c>
      <c r="B26" s="1" t="s">
        <v>143</v>
      </c>
      <c r="C26" s="22">
        <v>1.86</v>
      </c>
      <c r="D26" s="44">
        <f>(C26*1150000)</f>
        <v>2139000</v>
      </c>
      <c r="E26" s="10"/>
      <c r="F26" s="9"/>
      <c r="G26" s="10"/>
      <c r="H26" s="46"/>
      <c r="I26" s="45">
        <v>1300000</v>
      </c>
      <c r="J26" s="44">
        <f>(D26+F26+H26)*3%</f>
        <v>64170</v>
      </c>
      <c r="K26" s="44">
        <f>(D26+F26+H26)*17.5%</f>
        <v>374325</v>
      </c>
      <c r="L26" s="44">
        <f>J26+K26</f>
        <v>438495</v>
      </c>
      <c r="M26" s="44">
        <f>(D26+F26+H26)*1.5%</f>
        <v>32085</v>
      </c>
      <c r="N26" s="44">
        <f>(D26+F26+H26)*8%</f>
        <v>171120</v>
      </c>
      <c r="O26" s="44">
        <f>M26+N26</f>
        <v>203205</v>
      </c>
      <c r="P26" s="44"/>
      <c r="Q26" s="44"/>
      <c r="R26" s="44"/>
      <c r="S26" s="23"/>
      <c r="T26" s="23"/>
    </row>
    <row r="27" spans="1:20" ht="20.25" customHeight="1">
      <c r="A27" s="16"/>
      <c r="B27" s="23" t="s">
        <v>25</v>
      </c>
      <c r="C27" s="24">
        <f>C28</f>
        <v>2.06</v>
      </c>
      <c r="D27" s="46">
        <f>D28</f>
        <v>2678000</v>
      </c>
      <c r="E27" s="11">
        <f>E28</f>
        <v>0</v>
      </c>
      <c r="F27" s="9"/>
      <c r="G27" s="11">
        <f>G28</f>
        <v>0</v>
      </c>
      <c r="H27" s="13">
        <f>H28</f>
        <v>0</v>
      </c>
      <c r="I27" s="45">
        <v>1300000</v>
      </c>
      <c r="J27" s="46">
        <f aca="true" t="shared" si="12" ref="J27:O27">J28</f>
        <v>80340</v>
      </c>
      <c r="K27" s="46">
        <f t="shared" si="12"/>
        <v>468649.99999999994</v>
      </c>
      <c r="L27" s="46">
        <f t="shared" si="12"/>
        <v>548990</v>
      </c>
      <c r="M27" s="46">
        <f t="shared" si="12"/>
        <v>40170</v>
      </c>
      <c r="N27" s="46">
        <f t="shared" si="12"/>
        <v>214240</v>
      </c>
      <c r="O27" s="46">
        <f t="shared" si="12"/>
        <v>254410</v>
      </c>
      <c r="P27" s="46"/>
      <c r="Q27" s="46"/>
      <c r="R27" s="46"/>
      <c r="S27" s="23"/>
      <c r="T27" s="23"/>
    </row>
    <row r="28" spans="1:20" ht="20.25" customHeight="1">
      <c r="A28" s="16">
        <v>15</v>
      </c>
      <c r="B28" s="18" t="s">
        <v>121</v>
      </c>
      <c r="C28" s="22">
        <v>2.06</v>
      </c>
      <c r="D28" s="44">
        <f>C28*I28</f>
        <v>2678000</v>
      </c>
      <c r="E28" s="12"/>
      <c r="F28" s="9"/>
      <c r="G28" s="22"/>
      <c r="H28" s="45"/>
      <c r="I28" s="45">
        <v>1300000</v>
      </c>
      <c r="J28" s="44">
        <f>(D28+F28+H28)*3%</f>
        <v>80340</v>
      </c>
      <c r="K28" s="44">
        <f>(D28+F28+H28)*17.5%</f>
        <v>468649.99999999994</v>
      </c>
      <c r="L28" s="44">
        <f>J28+K28</f>
        <v>548990</v>
      </c>
      <c r="M28" s="44">
        <f>(D28+F28+H28)*1.5%</f>
        <v>40170</v>
      </c>
      <c r="N28" s="44">
        <f>(D28+F28+H28)*8%</f>
        <v>214240</v>
      </c>
      <c r="O28" s="44">
        <f>M28+N28</f>
        <v>254410</v>
      </c>
      <c r="P28" s="44"/>
      <c r="Q28" s="44"/>
      <c r="R28" s="44"/>
      <c r="S28" s="23"/>
      <c r="T28" s="23"/>
    </row>
    <row r="29" spans="1:20" ht="20.25" customHeight="1">
      <c r="A29" s="16"/>
      <c r="B29" s="23" t="s">
        <v>3</v>
      </c>
      <c r="C29" s="24">
        <f>C30</f>
        <v>2.06</v>
      </c>
      <c r="D29" s="46">
        <f>D30</f>
        <v>2369000</v>
      </c>
      <c r="E29" s="11">
        <f>E30</f>
        <v>0</v>
      </c>
      <c r="F29" s="9"/>
      <c r="G29" s="11">
        <f>G30</f>
        <v>0.15</v>
      </c>
      <c r="H29" s="13">
        <f>H30</f>
        <v>172500</v>
      </c>
      <c r="I29" s="45">
        <v>1300000</v>
      </c>
      <c r="J29" s="46">
        <f aca="true" t="shared" si="13" ref="J29:O29">J30</f>
        <v>76245</v>
      </c>
      <c r="K29" s="46">
        <f t="shared" si="13"/>
        <v>444762.5</v>
      </c>
      <c r="L29" s="46">
        <f t="shared" si="13"/>
        <v>521007.5</v>
      </c>
      <c r="M29" s="46">
        <f t="shared" si="13"/>
        <v>38122.5</v>
      </c>
      <c r="N29" s="46">
        <f t="shared" si="13"/>
        <v>203320</v>
      </c>
      <c r="O29" s="46">
        <f t="shared" si="13"/>
        <v>241442.5</v>
      </c>
      <c r="P29" s="46"/>
      <c r="Q29" s="46"/>
      <c r="R29" s="46"/>
      <c r="S29" s="23"/>
      <c r="T29" s="23"/>
    </row>
    <row r="30" spans="1:20" s="105" customFormat="1" ht="20.25" customHeight="1">
      <c r="A30" s="107">
        <v>16</v>
      </c>
      <c r="B30" s="101" t="s">
        <v>144</v>
      </c>
      <c r="C30" s="102">
        <v>2.06</v>
      </c>
      <c r="D30" s="103">
        <f>(C30*1150000)</f>
        <v>2369000</v>
      </c>
      <c r="E30" s="106"/>
      <c r="F30" s="108"/>
      <c r="G30" s="102">
        <v>0.15</v>
      </c>
      <c r="H30" s="104">
        <f>(G30*1150000)</f>
        <v>172500</v>
      </c>
      <c r="I30" s="104">
        <v>1300000</v>
      </c>
      <c r="J30" s="103">
        <f>(D30+F30+H30)*3%</f>
        <v>76245</v>
      </c>
      <c r="K30" s="103">
        <f>(D30+F30+H30)*17.5%</f>
        <v>444762.5</v>
      </c>
      <c r="L30" s="103">
        <f>J30+K30</f>
        <v>521007.5</v>
      </c>
      <c r="M30" s="103">
        <f>(D30+F30+H30)*1.5%</f>
        <v>38122.5</v>
      </c>
      <c r="N30" s="103">
        <f>(D30+F30+H30)*8%</f>
        <v>203320</v>
      </c>
      <c r="O30" s="103">
        <f>M30+N30</f>
        <v>241442.5</v>
      </c>
      <c r="P30" s="103"/>
      <c r="Q30" s="103"/>
      <c r="R30" s="103"/>
      <c r="S30" s="109"/>
      <c r="T30" s="109"/>
    </row>
    <row r="31" spans="1:19" ht="15.75">
      <c r="A31" s="16"/>
      <c r="B31" s="23" t="s">
        <v>4</v>
      </c>
      <c r="C31" s="24">
        <f>C32</f>
        <v>2.25</v>
      </c>
      <c r="D31" s="46">
        <f>D32</f>
        <v>2925000</v>
      </c>
      <c r="E31" s="13">
        <f>E32</f>
        <v>0</v>
      </c>
      <c r="F31" s="9"/>
      <c r="G31" s="11">
        <f>G32</f>
        <v>0</v>
      </c>
      <c r="H31" s="13">
        <f>H32</f>
        <v>0</v>
      </c>
      <c r="I31" s="45">
        <v>1300000</v>
      </c>
      <c r="J31" s="46">
        <f aca="true" t="shared" si="14" ref="J31:O31">J32</f>
        <v>87750</v>
      </c>
      <c r="K31" s="46">
        <f t="shared" si="14"/>
        <v>511874.99999999994</v>
      </c>
      <c r="L31" s="46">
        <f t="shared" si="14"/>
        <v>599625</v>
      </c>
      <c r="M31" s="46">
        <f t="shared" si="14"/>
        <v>43875</v>
      </c>
      <c r="N31" s="46">
        <f t="shared" si="14"/>
        <v>234000</v>
      </c>
      <c r="O31" s="46">
        <f t="shared" si="14"/>
        <v>277875</v>
      </c>
      <c r="P31" s="46"/>
      <c r="Q31" s="46"/>
      <c r="R31" s="46"/>
      <c r="S31" s="46"/>
    </row>
    <row r="32" spans="1:19" ht="15.75">
      <c r="A32" s="16">
        <v>17</v>
      </c>
      <c r="B32" s="18" t="s">
        <v>122</v>
      </c>
      <c r="C32" s="22">
        <v>2.25</v>
      </c>
      <c r="D32" s="44">
        <f>C32*I32</f>
        <v>2925000</v>
      </c>
      <c r="E32" s="12"/>
      <c r="F32" s="9"/>
      <c r="G32" s="22"/>
      <c r="H32" s="45">
        <f>(G32*1150000)</f>
        <v>0</v>
      </c>
      <c r="I32" s="45">
        <v>1300000</v>
      </c>
      <c r="J32" s="44">
        <f>(D32+F32+H32)*3%</f>
        <v>87750</v>
      </c>
      <c r="K32" s="44">
        <f>(D32+F32+H32)*17.5%</f>
        <v>511874.99999999994</v>
      </c>
      <c r="L32" s="44">
        <f>J32+K32</f>
        <v>599625</v>
      </c>
      <c r="M32" s="44">
        <f>(D32+F32+H32)*1.5%</f>
        <v>43875</v>
      </c>
      <c r="N32" s="44">
        <f>(D32+F32+H32)*8%</f>
        <v>234000</v>
      </c>
      <c r="O32" s="44">
        <f>M32+N32</f>
        <v>277875</v>
      </c>
      <c r="P32" s="44"/>
      <c r="Q32" s="44"/>
      <c r="R32" s="44"/>
      <c r="S32" s="44"/>
    </row>
    <row r="33" spans="1:20" ht="20.25" customHeight="1">
      <c r="A33" s="16"/>
      <c r="B33" s="23" t="s">
        <v>5</v>
      </c>
      <c r="C33" s="24">
        <f>C34</f>
        <v>1.86</v>
      </c>
      <c r="D33" s="46">
        <f>D34</f>
        <v>2418000</v>
      </c>
      <c r="E33" s="13">
        <f>E34</f>
        <v>0</v>
      </c>
      <c r="F33" s="9"/>
      <c r="G33" s="11">
        <f>G34</f>
        <v>0.15</v>
      </c>
      <c r="H33" s="13">
        <f>H34</f>
        <v>172500</v>
      </c>
      <c r="I33" s="45">
        <v>1300000</v>
      </c>
      <c r="J33" s="42">
        <f aca="true" t="shared" si="15" ref="J33:O33">J34</f>
        <v>77715</v>
      </c>
      <c r="K33" s="42">
        <f t="shared" si="15"/>
        <v>453337.5</v>
      </c>
      <c r="L33" s="42">
        <f t="shared" si="15"/>
        <v>531052.5</v>
      </c>
      <c r="M33" s="42">
        <f t="shared" si="15"/>
        <v>38857.5</v>
      </c>
      <c r="N33" s="42">
        <f t="shared" si="15"/>
        <v>207240</v>
      </c>
      <c r="O33" s="42">
        <f t="shared" si="15"/>
        <v>246097.5</v>
      </c>
      <c r="P33" s="42"/>
      <c r="Q33" s="42"/>
      <c r="R33" s="42"/>
      <c r="S33" s="23"/>
      <c r="T33" s="23"/>
    </row>
    <row r="34" spans="1:20" ht="20.25" customHeight="1">
      <c r="A34" s="16">
        <v>18</v>
      </c>
      <c r="B34" s="18" t="s">
        <v>133</v>
      </c>
      <c r="C34" s="22">
        <v>1.86</v>
      </c>
      <c r="D34" s="44">
        <f>C34*I34</f>
        <v>2418000</v>
      </c>
      <c r="E34" s="10"/>
      <c r="F34" s="9"/>
      <c r="G34" s="22">
        <v>0.15</v>
      </c>
      <c r="H34" s="45">
        <f>(G34*1150000)</f>
        <v>172500</v>
      </c>
      <c r="I34" s="45">
        <v>1300000</v>
      </c>
      <c r="J34" s="44">
        <f>(D34+F34+H34)*3%</f>
        <v>77715</v>
      </c>
      <c r="K34" s="44">
        <f>(D34+F34+H34)*17.5%</f>
        <v>453337.5</v>
      </c>
      <c r="L34" s="44">
        <f>J34+K34</f>
        <v>531052.5</v>
      </c>
      <c r="M34" s="44">
        <f>(D34+F34+H34)*1.5%</f>
        <v>38857.5</v>
      </c>
      <c r="N34" s="44">
        <f>(D34+F34+H34)*8%</f>
        <v>207240</v>
      </c>
      <c r="O34" s="44">
        <f>M34+N34</f>
        <v>246097.5</v>
      </c>
      <c r="P34" s="44"/>
      <c r="Q34" s="44"/>
      <c r="R34" s="44"/>
      <c r="S34" s="23"/>
      <c r="T34" s="23"/>
    </row>
    <row r="35" spans="1:20" ht="20.25" customHeight="1">
      <c r="A35" s="16"/>
      <c r="B35" s="23" t="s">
        <v>6</v>
      </c>
      <c r="C35" s="25">
        <f>C36</f>
        <v>2.25</v>
      </c>
      <c r="D35" s="46">
        <f>D36</f>
        <v>2925000</v>
      </c>
      <c r="E35" s="13">
        <f>E36</f>
        <v>0</v>
      </c>
      <c r="F35" s="9"/>
      <c r="G35" s="13">
        <f>G36</f>
        <v>0</v>
      </c>
      <c r="H35" s="46"/>
      <c r="I35" s="45">
        <v>1300000</v>
      </c>
      <c r="J35" s="46">
        <f aca="true" t="shared" si="16" ref="J35:O35">J36</f>
        <v>87750</v>
      </c>
      <c r="K35" s="46">
        <f t="shared" si="16"/>
        <v>511874.99999999994</v>
      </c>
      <c r="L35" s="46">
        <f t="shared" si="16"/>
        <v>599625</v>
      </c>
      <c r="M35" s="46">
        <f t="shared" si="16"/>
        <v>43875</v>
      </c>
      <c r="N35" s="46">
        <f t="shared" si="16"/>
        <v>234000</v>
      </c>
      <c r="O35" s="46">
        <f t="shared" si="16"/>
        <v>277875</v>
      </c>
      <c r="P35" s="46"/>
      <c r="Q35" s="46"/>
      <c r="R35" s="46"/>
      <c r="S35" s="23"/>
      <c r="T35" s="23"/>
    </row>
    <row r="36" spans="1:20" ht="20.25" customHeight="1">
      <c r="A36" s="16">
        <v>19</v>
      </c>
      <c r="B36" s="18" t="s">
        <v>124</v>
      </c>
      <c r="C36" s="22">
        <v>2.25</v>
      </c>
      <c r="D36" s="44">
        <f>C36*I36</f>
        <v>2925000</v>
      </c>
      <c r="E36" s="10"/>
      <c r="F36" s="9"/>
      <c r="G36" s="10"/>
      <c r="H36" s="46"/>
      <c r="I36" s="45">
        <v>1300000</v>
      </c>
      <c r="J36" s="44">
        <f>(D36+F36+H36)*3%</f>
        <v>87750</v>
      </c>
      <c r="K36" s="44">
        <f>(D36+F36+H36)*17.5%</f>
        <v>511874.99999999994</v>
      </c>
      <c r="L36" s="44">
        <f>J36+K36</f>
        <v>599625</v>
      </c>
      <c r="M36" s="44">
        <f>(D36+F36+H36)*1.5%</f>
        <v>43875</v>
      </c>
      <c r="N36" s="44">
        <f>(D36+F36+H36)*8%</f>
        <v>234000</v>
      </c>
      <c r="O36" s="44">
        <f>M36+N36</f>
        <v>277875</v>
      </c>
      <c r="P36" s="44"/>
      <c r="Q36" s="44"/>
      <c r="R36" s="44"/>
      <c r="S36" s="23"/>
      <c r="T36" s="23"/>
    </row>
    <row r="37" spans="1:20" ht="20.25" customHeight="1">
      <c r="A37" s="16"/>
      <c r="B37" s="23" t="s">
        <v>2</v>
      </c>
      <c r="C37" s="25">
        <f aca="true" t="shared" si="17" ref="C37:H37">C38+C39</f>
        <v>2.86</v>
      </c>
      <c r="D37" s="46">
        <f t="shared" si="17"/>
        <v>3718000</v>
      </c>
      <c r="E37" s="11">
        <f t="shared" si="17"/>
        <v>0</v>
      </c>
      <c r="F37" s="46">
        <f t="shared" si="17"/>
        <v>0</v>
      </c>
      <c r="G37" s="11">
        <f t="shared" si="17"/>
        <v>0.3</v>
      </c>
      <c r="H37" s="13">
        <f t="shared" si="17"/>
        <v>390000</v>
      </c>
      <c r="I37" s="45">
        <v>1300000</v>
      </c>
      <c r="J37" s="46">
        <f aca="true" t="shared" si="18" ref="J37:O37">J38+J39</f>
        <v>123240</v>
      </c>
      <c r="K37" s="46">
        <f t="shared" si="18"/>
        <v>718900</v>
      </c>
      <c r="L37" s="46">
        <f t="shared" si="18"/>
        <v>842140</v>
      </c>
      <c r="M37" s="46">
        <f t="shared" si="18"/>
        <v>61620</v>
      </c>
      <c r="N37" s="46">
        <f t="shared" si="18"/>
        <v>328640</v>
      </c>
      <c r="O37" s="46">
        <f t="shared" si="18"/>
        <v>390260</v>
      </c>
      <c r="P37" s="46"/>
      <c r="Q37" s="46"/>
      <c r="R37" s="46"/>
      <c r="S37" s="23"/>
      <c r="T37" s="23"/>
    </row>
    <row r="38" spans="1:19" ht="20.25" customHeight="1">
      <c r="A38" s="16"/>
      <c r="B38" s="18"/>
      <c r="C38" s="22"/>
      <c r="D38" s="44">
        <f>C38*I38</f>
        <v>0</v>
      </c>
      <c r="E38" s="12"/>
      <c r="F38" s="45"/>
      <c r="G38" s="22"/>
      <c r="H38" s="45"/>
      <c r="I38" s="45">
        <v>1300000</v>
      </c>
      <c r="J38" s="44">
        <f>(D38+F38+H38)*3%</f>
        <v>0</v>
      </c>
      <c r="K38" s="44">
        <f>(D38+F38+H38)*18%</f>
        <v>0</v>
      </c>
      <c r="L38" s="44">
        <f>J38+K38</f>
        <v>0</v>
      </c>
      <c r="M38" s="44">
        <f>(D38+F38+H38)*1.5%</f>
        <v>0</v>
      </c>
      <c r="N38" s="44">
        <f>(D38+F38+H38)*8%</f>
        <v>0</v>
      </c>
      <c r="O38" s="44">
        <f>M38+N38</f>
        <v>0</v>
      </c>
      <c r="P38" s="44"/>
      <c r="Q38" s="44"/>
      <c r="R38" s="44"/>
      <c r="S38" s="44"/>
    </row>
    <row r="39" spans="1:19" ht="20.25" customHeight="1">
      <c r="A39" s="16">
        <v>20</v>
      </c>
      <c r="B39" s="18" t="s">
        <v>145</v>
      </c>
      <c r="C39" s="22">
        <v>2.86</v>
      </c>
      <c r="D39" s="44">
        <f>C39*I39</f>
        <v>3718000</v>
      </c>
      <c r="E39" s="12"/>
      <c r="F39" s="9"/>
      <c r="G39" s="22">
        <v>0.3</v>
      </c>
      <c r="H39" s="45">
        <f>G39*I39</f>
        <v>390000</v>
      </c>
      <c r="I39" s="45">
        <v>1300000</v>
      </c>
      <c r="J39" s="44">
        <f>(D39+F39+H39)*3%</f>
        <v>123240</v>
      </c>
      <c r="K39" s="44">
        <f>(D39+F39+H39)*17.5%</f>
        <v>718900</v>
      </c>
      <c r="L39" s="44">
        <f>J39+K39</f>
        <v>842140</v>
      </c>
      <c r="M39" s="44">
        <f>(D39+F39+H39)*1.5%</f>
        <v>61620</v>
      </c>
      <c r="N39" s="44">
        <f>(D39+F39+H39)*8%</f>
        <v>328640</v>
      </c>
      <c r="O39" s="44">
        <f>M39+N39</f>
        <v>390260</v>
      </c>
      <c r="P39" s="44"/>
      <c r="Q39" s="44"/>
      <c r="R39" s="44"/>
      <c r="S39" s="44"/>
    </row>
    <row r="40" spans="1:20" ht="20.25" customHeight="1">
      <c r="A40" s="23"/>
      <c r="B40" s="23" t="s">
        <v>12</v>
      </c>
      <c r="C40" s="27">
        <f>C41</f>
        <v>2.45</v>
      </c>
      <c r="D40" s="46">
        <f>D41</f>
        <v>3185000</v>
      </c>
      <c r="E40" s="29">
        <f>E41</f>
        <v>0</v>
      </c>
      <c r="F40" s="29">
        <f>F41</f>
        <v>0</v>
      </c>
      <c r="G40" s="29">
        <f>G41</f>
        <v>0</v>
      </c>
      <c r="H40" s="46"/>
      <c r="I40" s="45">
        <v>1300000</v>
      </c>
      <c r="J40" s="46">
        <f aca="true" t="shared" si="19" ref="J40:O40">J41</f>
        <v>95550</v>
      </c>
      <c r="K40" s="46">
        <f t="shared" si="19"/>
        <v>557375</v>
      </c>
      <c r="L40" s="46">
        <f t="shared" si="19"/>
        <v>652925</v>
      </c>
      <c r="M40" s="46">
        <f t="shared" si="19"/>
        <v>47775</v>
      </c>
      <c r="N40" s="46">
        <f t="shared" si="19"/>
        <v>254800</v>
      </c>
      <c r="O40" s="46">
        <f t="shared" si="19"/>
        <v>302575</v>
      </c>
      <c r="P40" s="46"/>
      <c r="Q40" s="46"/>
      <c r="R40" s="46"/>
      <c r="S40" s="23"/>
      <c r="T40" s="23"/>
    </row>
    <row r="41" spans="1:20" ht="20.25" customHeight="1">
      <c r="A41" s="16">
        <v>21</v>
      </c>
      <c r="B41" s="18" t="s">
        <v>125</v>
      </c>
      <c r="C41" s="26">
        <v>2.45</v>
      </c>
      <c r="D41" s="44">
        <f>C41*I41</f>
        <v>3185000</v>
      </c>
      <c r="E41" s="14"/>
      <c r="F41" s="9"/>
      <c r="G41" s="14"/>
      <c r="H41" s="46"/>
      <c r="I41" s="45">
        <v>1300000</v>
      </c>
      <c r="J41" s="44">
        <f>(D41+F41+H41)*3%</f>
        <v>95550</v>
      </c>
      <c r="K41" s="44">
        <f>(D41+F41+H41)*17.5%</f>
        <v>557375</v>
      </c>
      <c r="L41" s="44">
        <f>J41+K41</f>
        <v>652925</v>
      </c>
      <c r="M41" s="44">
        <f>(D41+F41+H41)*1.5%</f>
        <v>47775</v>
      </c>
      <c r="N41" s="44">
        <f>(D41+F41+H41)*8%</f>
        <v>254800</v>
      </c>
      <c r="O41" s="44">
        <f>M41+N41</f>
        <v>302575</v>
      </c>
      <c r="P41" s="44"/>
      <c r="Q41" s="44"/>
      <c r="R41" s="44"/>
      <c r="S41" s="23"/>
      <c r="T41" s="23"/>
    </row>
    <row r="42" spans="1:20" ht="20.25" customHeight="1">
      <c r="A42" s="16"/>
      <c r="B42" s="23" t="s">
        <v>13</v>
      </c>
      <c r="C42" s="8">
        <f>C8+C26+C27+C29+C31+C33+C35+C37+C40</f>
        <v>49.86000000000001</v>
      </c>
      <c r="D42" s="28">
        <f>D8+D25+D27+D29+D31+D33+D35+D37+D40</f>
        <v>64230000</v>
      </c>
      <c r="E42" s="8">
        <f>E8+E25+E27+E29+E31+E33+E35+E37+E40</f>
        <v>0</v>
      </c>
      <c r="F42" s="28">
        <f>F8+F25+F27+F29+F31+F33+F35+F37+F40</f>
        <v>0</v>
      </c>
      <c r="G42" s="8">
        <f>G8+G25+G27+G29+G31+G33+G35+G37+G40</f>
        <v>1.4999999999999998</v>
      </c>
      <c r="H42" s="28">
        <f>H8+H25+H27+H29+H31+H33+H35+H37+H40</f>
        <v>1905000</v>
      </c>
      <c r="I42" s="28"/>
      <c r="J42" s="28">
        <f aca="true" t="shared" si="20" ref="J42:O42">J8+J25+J27+J29+J31+J33+J35+J37+J40</f>
        <v>1984050</v>
      </c>
      <c r="K42" s="28">
        <f t="shared" si="20"/>
        <v>11573625</v>
      </c>
      <c r="L42" s="28">
        <f t="shared" si="20"/>
        <v>13557675</v>
      </c>
      <c r="M42" s="28">
        <f t="shared" si="20"/>
        <v>992025</v>
      </c>
      <c r="N42" s="28">
        <f t="shared" si="20"/>
        <v>5290800</v>
      </c>
      <c r="O42" s="28">
        <f t="shared" si="20"/>
        <v>6282825</v>
      </c>
      <c r="P42" s="28"/>
      <c r="Q42" s="28"/>
      <c r="R42" s="28"/>
      <c r="S42" s="18"/>
      <c r="T42" s="18"/>
    </row>
    <row r="43" spans="3:15" ht="15.75">
      <c r="C43" s="47">
        <f>C8+C37+D45</f>
        <v>50.14</v>
      </c>
      <c r="D43" s="36">
        <f>C41+C36+C34+C32+C30</f>
        <v>10.870000000000001</v>
      </c>
      <c r="E43" s="48"/>
      <c r="J43" s="156"/>
      <c r="K43" s="156"/>
      <c r="L43" s="52"/>
      <c r="M43" s="156"/>
      <c r="N43" s="156"/>
      <c r="O43" s="58"/>
    </row>
    <row r="44" spans="1:15" ht="15.75">
      <c r="A44" s="158"/>
      <c r="B44" s="158"/>
      <c r="C44" s="8">
        <f>C8+C25+C37+D43+C27</f>
        <v>49.86</v>
      </c>
      <c r="D44" s="36">
        <f>0.7*6</f>
        <v>4.199999999999999</v>
      </c>
      <c r="E44" s="36"/>
      <c r="F44" s="5"/>
      <c r="G44" s="5"/>
      <c r="H44" s="5"/>
      <c r="I44" s="5"/>
      <c r="J44" s="158"/>
      <c r="K44" s="158"/>
      <c r="L44" s="53"/>
      <c r="M44" s="158"/>
      <c r="N44" s="158"/>
      <c r="O44" s="59"/>
    </row>
    <row r="45" spans="4:6" ht="17.25">
      <c r="D45" s="49">
        <f>SUM(D43:D44)</f>
        <v>15.07</v>
      </c>
      <c r="E45" s="36">
        <f>13.68</f>
        <v>13.68</v>
      </c>
      <c r="F45" s="38">
        <f>D45-E45</f>
        <v>1.3900000000000006</v>
      </c>
    </row>
    <row r="47" spans="3:4" ht="15.75">
      <c r="C47" s="38">
        <f>C42+E42+G42</f>
        <v>51.36000000000001</v>
      </c>
      <c r="D47" s="6">
        <v>2.76</v>
      </c>
    </row>
    <row r="48" spans="2:6" ht="15.75">
      <c r="B48" s="176">
        <f>C47*60000</f>
        <v>3081600.0000000005</v>
      </c>
      <c r="C48" s="176"/>
      <c r="D48" s="6">
        <v>2.56</v>
      </c>
      <c r="F48" s="6">
        <f>1210-1150</f>
        <v>60</v>
      </c>
    </row>
    <row r="49" spans="2:4" ht="15.75">
      <c r="B49" s="38">
        <f>B48*2</f>
        <v>6163200.000000001</v>
      </c>
      <c r="D49" s="6">
        <v>2.56</v>
      </c>
    </row>
    <row r="50" ht="15.75">
      <c r="D50" s="6">
        <v>2.45</v>
      </c>
    </row>
    <row r="51" spans="2:4" ht="15.75">
      <c r="B51" s="72">
        <v>33647448</v>
      </c>
      <c r="D51" s="6">
        <v>3.35</v>
      </c>
    </row>
    <row r="52" ht="15.75">
      <c r="B52" s="72">
        <v>353855</v>
      </c>
    </row>
    <row r="53" spans="2:4" ht="15.75">
      <c r="B53" s="72">
        <v>936675</v>
      </c>
      <c r="D53" s="50">
        <f>SUM(D47:D52)</f>
        <v>13.680000000000001</v>
      </c>
    </row>
    <row r="54" ht="15.75">
      <c r="B54" s="72">
        <v>18056150</v>
      </c>
    </row>
    <row r="55" ht="15.75">
      <c r="B55" s="72">
        <v>4025000</v>
      </c>
    </row>
    <row r="56" ht="15.75">
      <c r="B56" s="72">
        <v>9651375</v>
      </c>
    </row>
    <row r="57" ht="15.75">
      <c r="B57" s="72">
        <v>2044700</v>
      </c>
    </row>
    <row r="58" ht="15.75">
      <c r="B58" s="72">
        <f>14*805000</f>
        <v>11270000</v>
      </c>
    </row>
    <row r="59" ht="15.75">
      <c r="B59" s="72">
        <v>630200</v>
      </c>
    </row>
    <row r="60" ht="15.75">
      <c r="B60" s="72"/>
    </row>
    <row r="61" ht="15.75">
      <c r="B61" s="72"/>
    </row>
    <row r="62" ht="15.75">
      <c r="B62" s="72"/>
    </row>
    <row r="63" ht="15.75">
      <c r="B63" s="72">
        <f>SUM(B51:B62)</f>
        <v>80615403</v>
      </c>
    </row>
    <row r="64" ht="15.75">
      <c r="B64" s="72"/>
    </row>
    <row r="65" ht="15.75">
      <c r="B65" s="72">
        <v>80615403</v>
      </c>
    </row>
    <row r="66" ht="15.75">
      <c r="B66" s="6">
        <v>2.34</v>
      </c>
    </row>
    <row r="67" ht="15.75">
      <c r="B67" s="77">
        <v>0.2</v>
      </c>
    </row>
    <row r="68" ht="15.75">
      <c r="B68" s="77">
        <f>B66+B67</f>
        <v>2.54</v>
      </c>
    </row>
    <row r="69" ht="15.75">
      <c r="B69" s="72">
        <v>1150000</v>
      </c>
    </row>
    <row r="70" ht="15.75">
      <c r="B70" s="6">
        <f>B68*B69*70%</f>
        <v>2044699.9999999998</v>
      </c>
    </row>
  </sheetData>
  <sheetProtection/>
  <mergeCells count="25">
    <mergeCell ref="B48:C48"/>
    <mergeCell ref="A1:T1"/>
    <mergeCell ref="P4:P6"/>
    <mergeCell ref="Q4:Q6"/>
    <mergeCell ref="R4:R6"/>
    <mergeCell ref="S4:S6"/>
    <mergeCell ref="A2:T2"/>
    <mergeCell ref="A4:A6"/>
    <mergeCell ref="B4:B6"/>
    <mergeCell ref="C4:D4"/>
    <mergeCell ref="T4:T6"/>
    <mergeCell ref="C5:C6"/>
    <mergeCell ref="M4:O5"/>
    <mergeCell ref="D5:D6"/>
    <mergeCell ref="E5:F5"/>
    <mergeCell ref="G5:H5"/>
    <mergeCell ref="J4:L5"/>
    <mergeCell ref="I4:I6"/>
    <mergeCell ref="M43:N43"/>
    <mergeCell ref="G4:H4"/>
    <mergeCell ref="A44:B44"/>
    <mergeCell ref="J44:K44"/>
    <mergeCell ref="M44:N44"/>
    <mergeCell ref="J43:K43"/>
    <mergeCell ref="E4:F4"/>
  </mergeCells>
  <printOptions horizontalCentered="1"/>
  <pageMargins left="0.25" right="0.25" top="0.5" bottom="0.5" header="0.39" footer="0.5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3"/>
  <sheetViews>
    <sheetView view="pageBreakPreview" zoomScale="90" zoomScaleNormal="90" zoomScaleSheetLayoutView="90" zoomScalePageLayoutView="0" workbookViewId="0" topLeftCell="A27">
      <selection activeCell="K40" sqref="K40"/>
    </sheetView>
  </sheetViews>
  <sheetFormatPr defaultColWidth="9.00390625" defaultRowHeight="15.75"/>
  <cols>
    <col min="1" max="1" width="3.50390625" style="6" customWidth="1"/>
    <col min="2" max="2" width="17.00390625" style="6" customWidth="1"/>
    <col min="3" max="3" width="9.00390625" style="6" customWidth="1"/>
    <col min="4" max="4" width="10.875" style="6" customWidth="1"/>
    <col min="5" max="5" width="6.00390625" style="7" customWidth="1"/>
    <col min="6" max="6" width="8.75390625" style="6" customWidth="1"/>
    <col min="7" max="7" width="6.625" style="7" customWidth="1"/>
    <col min="8" max="9" width="9.625" style="6" customWidth="1"/>
    <col min="10" max="10" width="11.125" style="6" customWidth="1"/>
    <col min="11" max="11" width="11.375" style="6" customWidth="1"/>
    <col min="12" max="12" width="11.125" style="51" customWidth="1"/>
    <col min="13" max="13" width="11.00390625" style="6" customWidth="1"/>
    <col min="14" max="14" width="11.50390625" style="6" customWidth="1"/>
    <col min="15" max="15" width="11.00390625" style="56" customWidth="1"/>
    <col min="16" max="16" width="10.875" style="6" customWidth="1"/>
    <col min="17" max="17" width="8.50390625" style="6" customWidth="1"/>
    <col min="18" max="19" width="11.00390625" style="6" customWidth="1"/>
    <col min="20" max="20" width="10.375" style="6" customWidth="1"/>
    <col min="21" max="21" width="11.125" style="6" bestFit="1" customWidth="1"/>
    <col min="22" max="16384" width="9.00390625" style="6" customWidth="1"/>
  </cols>
  <sheetData>
    <row r="1" spans="1:22" ht="21.75" customHeight="1">
      <c r="A1" s="158" t="s">
        <v>106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37"/>
      <c r="V1" s="37"/>
    </row>
    <row r="2" spans="1:20" ht="16.5" customHeight="1">
      <c r="A2" s="158" t="s">
        <v>187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15" ht="15.75">
      <c r="A3" s="6" t="s">
        <v>53</v>
      </c>
      <c r="D3" s="38"/>
      <c r="E3" s="39"/>
      <c r="F3" s="40"/>
      <c r="L3" s="6"/>
      <c r="O3" s="6"/>
    </row>
    <row r="4" spans="1:20" ht="15.75" customHeight="1">
      <c r="A4" s="171" t="s">
        <v>14</v>
      </c>
      <c r="B4" s="171" t="s">
        <v>24</v>
      </c>
      <c r="C4" s="174" t="s">
        <v>7</v>
      </c>
      <c r="D4" s="175"/>
      <c r="E4" s="157"/>
      <c r="F4" s="157"/>
      <c r="G4" s="157"/>
      <c r="H4" s="157"/>
      <c r="I4" s="159" t="s">
        <v>31</v>
      </c>
      <c r="J4" s="162" t="s">
        <v>22</v>
      </c>
      <c r="K4" s="163"/>
      <c r="L4" s="164"/>
      <c r="M4" s="162" t="s">
        <v>21</v>
      </c>
      <c r="N4" s="163"/>
      <c r="O4" s="164"/>
      <c r="P4" s="159" t="s">
        <v>29</v>
      </c>
      <c r="Q4" s="159" t="s">
        <v>30</v>
      </c>
      <c r="R4" s="159" t="s">
        <v>32</v>
      </c>
      <c r="S4" s="159" t="s">
        <v>33</v>
      </c>
      <c r="T4" s="159" t="s">
        <v>16</v>
      </c>
    </row>
    <row r="5" spans="1:20" ht="30" customHeight="1">
      <c r="A5" s="172"/>
      <c r="B5" s="172"/>
      <c r="C5" s="159" t="s">
        <v>9</v>
      </c>
      <c r="D5" s="159" t="s">
        <v>8</v>
      </c>
      <c r="E5" s="168" t="s">
        <v>23</v>
      </c>
      <c r="F5" s="169"/>
      <c r="G5" s="168" t="s">
        <v>10</v>
      </c>
      <c r="H5" s="170"/>
      <c r="I5" s="160"/>
      <c r="J5" s="165"/>
      <c r="K5" s="166"/>
      <c r="L5" s="167"/>
      <c r="M5" s="165"/>
      <c r="N5" s="166"/>
      <c r="O5" s="167"/>
      <c r="P5" s="160"/>
      <c r="Q5" s="160"/>
      <c r="R5" s="160"/>
      <c r="S5" s="160"/>
      <c r="T5" s="160"/>
    </row>
    <row r="6" spans="1:20" ht="79.5" customHeight="1">
      <c r="A6" s="173"/>
      <c r="B6" s="173"/>
      <c r="C6" s="161"/>
      <c r="D6" s="161"/>
      <c r="E6" s="2" t="s">
        <v>11</v>
      </c>
      <c r="F6" s="2" t="s">
        <v>8</v>
      </c>
      <c r="G6" s="2" t="s">
        <v>11</v>
      </c>
      <c r="H6" s="30" t="s">
        <v>8</v>
      </c>
      <c r="I6" s="161"/>
      <c r="J6" s="3" t="s">
        <v>17</v>
      </c>
      <c r="K6" s="3" t="s">
        <v>222</v>
      </c>
      <c r="L6" s="4" t="s">
        <v>13</v>
      </c>
      <c r="M6" s="3" t="s">
        <v>18</v>
      </c>
      <c r="N6" s="3" t="s">
        <v>19</v>
      </c>
      <c r="O6" s="57" t="s">
        <v>13</v>
      </c>
      <c r="P6" s="160"/>
      <c r="Q6" s="161"/>
      <c r="R6" s="161"/>
      <c r="S6" s="161"/>
      <c r="T6" s="161"/>
    </row>
    <row r="7" spans="1:20" ht="18.75" customHeight="1">
      <c r="A7" s="54" t="s">
        <v>34</v>
      </c>
      <c r="B7" s="54" t="s">
        <v>35</v>
      </c>
      <c r="C7" s="54" t="s">
        <v>36</v>
      </c>
      <c r="D7" s="54" t="s">
        <v>37</v>
      </c>
      <c r="E7" s="54" t="s">
        <v>38</v>
      </c>
      <c r="F7" s="54" t="s">
        <v>39</v>
      </c>
      <c r="G7" s="54" t="s">
        <v>40</v>
      </c>
      <c r="H7" s="54" t="s">
        <v>41</v>
      </c>
      <c r="I7" s="54" t="s">
        <v>42</v>
      </c>
      <c r="J7" s="55" t="s">
        <v>43</v>
      </c>
      <c r="K7" s="55" t="s">
        <v>44</v>
      </c>
      <c r="L7" s="55" t="s">
        <v>45</v>
      </c>
      <c r="M7" s="55" t="s">
        <v>46</v>
      </c>
      <c r="N7" s="55" t="s">
        <v>47</v>
      </c>
      <c r="O7" s="55" t="s">
        <v>48</v>
      </c>
      <c r="P7" s="55" t="s">
        <v>15</v>
      </c>
      <c r="Q7" s="54" t="s">
        <v>49</v>
      </c>
      <c r="R7" s="54" t="s">
        <v>50</v>
      </c>
      <c r="S7" s="54" t="s">
        <v>51</v>
      </c>
      <c r="T7" s="54" t="s">
        <v>52</v>
      </c>
    </row>
    <row r="8" spans="1:20" ht="15.75">
      <c r="A8" s="16"/>
      <c r="B8" s="17" t="s">
        <v>0</v>
      </c>
      <c r="C8" s="41">
        <f aca="true" t="shared" si="0" ref="C8:H8">SUM(C9:C24)</f>
        <v>34.55</v>
      </c>
      <c r="D8" s="42">
        <f t="shared" si="0"/>
        <v>44915000</v>
      </c>
      <c r="E8" s="64">
        <f t="shared" si="0"/>
        <v>0</v>
      </c>
      <c r="F8" s="42">
        <f t="shared" si="0"/>
        <v>0</v>
      </c>
      <c r="G8" s="15">
        <f t="shared" si="0"/>
        <v>0.8999999999999999</v>
      </c>
      <c r="H8" s="9">
        <f t="shared" si="0"/>
        <v>1170000</v>
      </c>
      <c r="I8" s="9"/>
      <c r="J8" s="42">
        <f aca="true" t="shared" si="1" ref="J8:O8">SUM(J9:J24)</f>
        <v>1382550</v>
      </c>
      <c r="K8" s="42">
        <f t="shared" si="1"/>
        <v>8064875</v>
      </c>
      <c r="L8" s="42">
        <f t="shared" si="1"/>
        <v>9447425</v>
      </c>
      <c r="M8" s="42">
        <f t="shared" si="1"/>
        <v>691275</v>
      </c>
      <c r="N8" s="42">
        <f t="shared" si="1"/>
        <v>3686800</v>
      </c>
      <c r="O8" s="42">
        <f t="shared" si="1"/>
        <v>4378075</v>
      </c>
      <c r="P8" s="42"/>
      <c r="Q8" s="42"/>
      <c r="R8" s="42"/>
      <c r="S8" s="43"/>
      <c r="T8" s="16"/>
    </row>
    <row r="9" spans="1:20" ht="15.75">
      <c r="A9" s="21" t="s">
        <v>34</v>
      </c>
      <c r="B9" s="1" t="s">
        <v>108</v>
      </c>
      <c r="C9" s="22">
        <v>2.46</v>
      </c>
      <c r="D9" s="44">
        <f>C9*I9</f>
        <v>3198000</v>
      </c>
      <c r="E9" s="78"/>
      <c r="F9" s="45">
        <f>E9*I9</f>
        <v>0</v>
      </c>
      <c r="G9" s="22">
        <v>0.25</v>
      </c>
      <c r="H9" s="45">
        <f>G9*I9</f>
        <v>325000</v>
      </c>
      <c r="I9" s="45">
        <v>1300000</v>
      </c>
      <c r="J9" s="44">
        <f aca="true" t="shared" si="2" ref="J9:J22">(D9+F9+H9)*3%</f>
        <v>105690</v>
      </c>
      <c r="K9" s="44">
        <f>(D9+F9+H9)*17.5%</f>
        <v>616525</v>
      </c>
      <c r="L9" s="44">
        <f aca="true" t="shared" si="3" ref="L9:L22">J9+K9</f>
        <v>722215</v>
      </c>
      <c r="M9" s="44">
        <f aca="true" t="shared" si="4" ref="M9:M22">(D9+F9+H9)*1.5%</f>
        <v>52845</v>
      </c>
      <c r="N9" s="44">
        <f aca="true" t="shared" si="5" ref="N9:N22">(D9+F9+H9)*8%</f>
        <v>281840</v>
      </c>
      <c r="O9" s="44">
        <f aca="true" t="shared" si="6" ref="O9:O22">M9+N9</f>
        <v>334685</v>
      </c>
      <c r="P9" s="44"/>
      <c r="Q9" s="44"/>
      <c r="R9" s="44"/>
      <c r="S9" s="16"/>
      <c r="T9" s="16"/>
    </row>
    <row r="10" spans="1:20" ht="15.75">
      <c r="A10" s="21" t="s">
        <v>35</v>
      </c>
      <c r="B10" s="18" t="s">
        <v>109</v>
      </c>
      <c r="C10" s="22">
        <v>2.46</v>
      </c>
      <c r="D10" s="44">
        <f aca="true" t="shared" si="7" ref="D10:D22">C10*I10</f>
        <v>3198000</v>
      </c>
      <c r="E10" s="12"/>
      <c r="F10" s="45">
        <f aca="true" t="shared" si="8" ref="F10:F22">(E10*1150000)</f>
        <v>0</v>
      </c>
      <c r="G10" s="22">
        <v>0.2</v>
      </c>
      <c r="H10" s="45">
        <f>G10*I10</f>
        <v>260000</v>
      </c>
      <c r="I10" s="45">
        <v>1300000</v>
      </c>
      <c r="J10" s="44">
        <f t="shared" si="2"/>
        <v>103740</v>
      </c>
      <c r="K10" s="44">
        <f aca="true" t="shared" si="9" ref="K10:K22">(D10+F10+H10)*17.5%</f>
        <v>605150</v>
      </c>
      <c r="L10" s="44">
        <f t="shared" si="3"/>
        <v>708890</v>
      </c>
      <c r="M10" s="44">
        <f t="shared" si="4"/>
        <v>51870</v>
      </c>
      <c r="N10" s="44">
        <f t="shared" si="5"/>
        <v>276640</v>
      </c>
      <c r="O10" s="44">
        <f t="shared" si="6"/>
        <v>328510</v>
      </c>
      <c r="P10" s="44"/>
      <c r="Q10" s="44"/>
      <c r="R10" s="44"/>
      <c r="S10" s="18"/>
      <c r="T10" s="18"/>
    </row>
    <row r="11" spans="1:20" ht="15.75">
      <c r="A11" s="21" t="s">
        <v>36</v>
      </c>
      <c r="B11" s="18" t="s">
        <v>110</v>
      </c>
      <c r="C11" s="22">
        <v>2.66</v>
      </c>
      <c r="D11" s="44">
        <f t="shared" si="7"/>
        <v>3458000</v>
      </c>
      <c r="E11" s="22"/>
      <c r="F11" s="45">
        <f t="shared" si="8"/>
        <v>0</v>
      </c>
      <c r="G11" s="22">
        <v>0.25</v>
      </c>
      <c r="H11" s="45">
        <f>G11*I11</f>
        <v>325000</v>
      </c>
      <c r="I11" s="45">
        <v>1300000</v>
      </c>
      <c r="J11" s="44">
        <f t="shared" si="2"/>
        <v>113490</v>
      </c>
      <c r="K11" s="44">
        <f t="shared" si="9"/>
        <v>662025</v>
      </c>
      <c r="L11" s="44">
        <f t="shared" si="3"/>
        <v>775515</v>
      </c>
      <c r="M11" s="44">
        <f t="shared" si="4"/>
        <v>56745</v>
      </c>
      <c r="N11" s="44">
        <f t="shared" si="5"/>
        <v>302640</v>
      </c>
      <c r="O11" s="44">
        <f t="shared" si="6"/>
        <v>359385</v>
      </c>
      <c r="P11" s="44"/>
      <c r="Q11" s="44"/>
      <c r="R11" s="44"/>
      <c r="S11" s="18"/>
      <c r="T11" s="18"/>
    </row>
    <row r="12" spans="1:20" ht="15.75">
      <c r="A12" s="21" t="s">
        <v>37</v>
      </c>
      <c r="B12" s="18" t="s">
        <v>111</v>
      </c>
      <c r="C12" s="22">
        <v>2.34</v>
      </c>
      <c r="D12" s="44">
        <f t="shared" si="7"/>
        <v>3042000</v>
      </c>
      <c r="E12" s="12"/>
      <c r="F12" s="45">
        <f t="shared" si="8"/>
        <v>0</v>
      </c>
      <c r="G12" s="22">
        <v>0.2</v>
      </c>
      <c r="H12" s="45">
        <f>G12*I12</f>
        <v>260000</v>
      </c>
      <c r="I12" s="45">
        <v>1300000</v>
      </c>
      <c r="J12" s="44">
        <f t="shared" si="2"/>
        <v>99060</v>
      </c>
      <c r="K12" s="44">
        <f t="shared" si="9"/>
        <v>577850</v>
      </c>
      <c r="L12" s="44">
        <f t="shared" si="3"/>
        <v>676910</v>
      </c>
      <c r="M12" s="44">
        <f t="shared" si="4"/>
        <v>49530</v>
      </c>
      <c r="N12" s="44">
        <f t="shared" si="5"/>
        <v>264160</v>
      </c>
      <c r="O12" s="44">
        <f t="shared" si="6"/>
        <v>313690</v>
      </c>
      <c r="P12" s="44"/>
      <c r="Q12" s="44"/>
      <c r="R12" s="44"/>
      <c r="S12" s="18"/>
      <c r="T12" s="18"/>
    </row>
    <row r="13" spans="1:20" ht="15.75">
      <c r="A13" s="21" t="s">
        <v>38</v>
      </c>
      <c r="B13" s="18" t="s">
        <v>112</v>
      </c>
      <c r="C13" s="22">
        <v>3</v>
      </c>
      <c r="D13" s="44">
        <f t="shared" si="7"/>
        <v>3900000</v>
      </c>
      <c r="E13" s="12"/>
      <c r="F13" s="45">
        <f t="shared" si="8"/>
        <v>0</v>
      </c>
      <c r="G13" s="22"/>
      <c r="H13" s="45">
        <f>G13*I13</f>
        <v>0</v>
      </c>
      <c r="I13" s="45">
        <v>1300000</v>
      </c>
      <c r="J13" s="44">
        <f t="shared" si="2"/>
        <v>117000</v>
      </c>
      <c r="K13" s="44">
        <f t="shared" si="9"/>
        <v>682500</v>
      </c>
      <c r="L13" s="44">
        <f t="shared" si="3"/>
        <v>799500</v>
      </c>
      <c r="M13" s="44">
        <f t="shared" si="4"/>
        <v>58500</v>
      </c>
      <c r="N13" s="44">
        <f t="shared" si="5"/>
        <v>312000</v>
      </c>
      <c r="O13" s="44">
        <f t="shared" si="6"/>
        <v>370500</v>
      </c>
      <c r="P13" s="44"/>
      <c r="Q13" s="44"/>
      <c r="R13" s="44"/>
      <c r="S13" s="18"/>
      <c r="T13" s="18"/>
    </row>
    <row r="14" spans="1:20" ht="15.75">
      <c r="A14" s="21" t="s">
        <v>39</v>
      </c>
      <c r="B14" s="18" t="s">
        <v>113</v>
      </c>
      <c r="C14" s="22">
        <v>2.06</v>
      </c>
      <c r="D14" s="44">
        <f t="shared" si="7"/>
        <v>2678000</v>
      </c>
      <c r="E14" s="12"/>
      <c r="F14" s="45">
        <f t="shared" si="8"/>
        <v>0</v>
      </c>
      <c r="G14" s="22"/>
      <c r="H14" s="45">
        <f aca="true" t="shared" si="10" ref="H14:H22">(G14*1150000)</f>
        <v>0</v>
      </c>
      <c r="I14" s="45">
        <v>1300000</v>
      </c>
      <c r="J14" s="44">
        <f t="shared" si="2"/>
        <v>80340</v>
      </c>
      <c r="K14" s="44">
        <f t="shared" si="9"/>
        <v>468649.99999999994</v>
      </c>
      <c r="L14" s="44">
        <f t="shared" si="3"/>
        <v>548990</v>
      </c>
      <c r="M14" s="44">
        <f t="shared" si="4"/>
        <v>40170</v>
      </c>
      <c r="N14" s="44">
        <f t="shared" si="5"/>
        <v>214240</v>
      </c>
      <c r="O14" s="44">
        <f t="shared" si="6"/>
        <v>254410</v>
      </c>
      <c r="P14" s="44"/>
      <c r="Q14" s="44"/>
      <c r="R14" s="44"/>
      <c r="S14" s="18"/>
      <c r="T14" s="18"/>
    </row>
    <row r="15" spans="1:20" ht="15.75">
      <c r="A15" s="21" t="s">
        <v>40</v>
      </c>
      <c r="B15" s="18" t="s">
        <v>114</v>
      </c>
      <c r="C15" s="22">
        <v>2.86</v>
      </c>
      <c r="D15" s="44">
        <f t="shared" si="7"/>
        <v>3718000</v>
      </c>
      <c r="E15" s="12"/>
      <c r="F15" s="45">
        <f t="shared" si="8"/>
        <v>0</v>
      </c>
      <c r="G15" s="22"/>
      <c r="H15" s="45">
        <f t="shared" si="10"/>
        <v>0</v>
      </c>
      <c r="I15" s="45">
        <v>1300000</v>
      </c>
      <c r="J15" s="44">
        <f t="shared" si="2"/>
        <v>111540</v>
      </c>
      <c r="K15" s="44">
        <f t="shared" si="9"/>
        <v>650650</v>
      </c>
      <c r="L15" s="44">
        <f t="shared" si="3"/>
        <v>762190</v>
      </c>
      <c r="M15" s="44">
        <f t="shared" si="4"/>
        <v>55770</v>
      </c>
      <c r="N15" s="44">
        <f t="shared" si="5"/>
        <v>297440</v>
      </c>
      <c r="O15" s="44">
        <f t="shared" si="6"/>
        <v>353210</v>
      </c>
      <c r="P15" s="44"/>
      <c r="Q15" s="44"/>
      <c r="R15" s="44"/>
      <c r="S15" s="18"/>
      <c r="T15" s="18"/>
    </row>
    <row r="16" spans="1:20" ht="15.75">
      <c r="A16" s="21" t="s">
        <v>41</v>
      </c>
      <c r="B16" s="18" t="s">
        <v>115</v>
      </c>
      <c r="C16" s="22">
        <v>2.46</v>
      </c>
      <c r="D16" s="44">
        <f t="shared" si="7"/>
        <v>3198000</v>
      </c>
      <c r="E16" s="12"/>
      <c r="F16" s="45">
        <f t="shared" si="8"/>
        <v>0</v>
      </c>
      <c r="G16" s="22"/>
      <c r="H16" s="45">
        <f t="shared" si="10"/>
        <v>0</v>
      </c>
      <c r="I16" s="45">
        <v>1300000</v>
      </c>
      <c r="J16" s="44">
        <f t="shared" si="2"/>
        <v>95940</v>
      </c>
      <c r="K16" s="44">
        <f t="shared" si="9"/>
        <v>559650</v>
      </c>
      <c r="L16" s="44">
        <f t="shared" si="3"/>
        <v>655590</v>
      </c>
      <c r="M16" s="44">
        <f t="shared" si="4"/>
        <v>47970</v>
      </c>
      <c r="N16" s="44">
        <f t="shared" si="5"/>
        <v>255840</v>
      </c>
      <c r="O16" s="44">
        <f t="shared" si="6"/>
        <v>303810</v>
      </c>
      <c r="P16" s="44"/>
      <c r="Q16" s="44"/>
      <c r="R16" s="44"/>
      <c r="S16" s="18"/>
      <c r="T16" s="18"/>
    </row>
    <row r="17" spans="1:20" s="105" customFormat="1" ht="15.75">
      <c r="A17" s="100" t="s">
        <v>42</v>
      </c>
      <c r="B17" s="101" t="s">
        <v>147</v>
      </c>
      <c r="C17" s="102">
        <v>2.34</v>
      </c>
      <c r="D17" s="103">
        <f t="shared" si="7"/>
        <v>3042000</v>
      </c>
      <c r="E17" s="106"/>
      <c r="F17" s="104">
        <f t="shared" si="8"/>
        <v>0</v>
      </c>
      <c r="G17" s="102"/>
      <c r="H17" s="104">
        <f t="shared" si="10"/>
        <v>0</v>
      </c>
      <c r="I17" s="104">
        <v>1300000</v>
      </c>
      <c r="J17" s="103">
        <f t="shared" si="2"/>
        <v>91260</v>
      </c>
      <c r="K17" s="44">
        <f t="shared" si="9"/>
        <v>532350</v>
      </c>
      <c r="L17" s="103">
        <f t="shared" si="3"/>
        <v>623610</v>
      </c>
      <c r="M17" s="103">
        <f t="shared" si="4"/>
        <v>45630</v>
      </c>
      <c r="N17" s="103">
        <f t="shared" si="5"/>
        <v>243360</v>
      </c>
      <c r="O17" s="103">
        <f t="shared" si="6"/>
        <v>288990</v>
      </c>
      <c r="P17" s="103"/>
      <c r="Q17" s="103"/>
      <c r="R17" s="103"/>
      <c r="S17" s="101"/>
      <c r="T17" s="101"/>
    </row>
    <row r="18" spans="1:20" ht="15.75">
      <c r="A18" s="21">
        <v>10</v>
      </c>
      <c r="B18" s="18" t="s">
        <v>116</v>
      </c>
      <c r="C18" s="22">
        <v>2.26</v>
      </c>
      <c r="D18" s="44">
        <f t="shared" si="7"/>
        <v>2937999.9999999995</v>
      </c>
      <c r="E18" s="12"/>
      <c r="F18" s="45">
        <f t="shared" si="8"/>
        <v>0</v>
      </c>
      <c r="G18" s="22"/>
      <c r="H18" s="45">
        <f t="shared" si="10"/>
        <v>0</v>
      </c>
      <c r="I18" s="45">
        <v>1300000</v>
      </c>
      <c r="J18" s="44">
        <f t="shared" si="2"/>
        <v>88139.99999999999</v>
      </c>
      <c r="K18" s="44">
        <f t="shared" si="9"/>
        <v>514149.9999999999</v>
      </c>
      <c r="L18" s="44">
        <f t="shared" si="3"/>
        <v>602289.9999999999</v>
      </c>
      <c r="M18" s="44">
        <f t="shared" si="4"/>
        <v>44069.99999999999</v>
      </c>
      <c r="N18" s="44">
        <f t="shared" si="5"/>
        <v>235039.99999999997</v>
      </c>
      <c r="O18" s="44">
        <f t="shared" si="6"/>
        <v>279109.99999999994</v>
      </c>
      <c r="P18" s="44"/>
      <c r="Q18" s="44"/>
      <c r="R18" s="44"/>
      <c r="S18" s="18"/>
      <c r="T18" s="18"/>
    </row>
    <row r="19" spans="1:20" ht="15.75">
      <c r="A19" s="21">
        <v>11</v>
      </c>
      <c r="B19" s="18" t="s">
        <v>117</v>
      </c>
      <c r="C19" s="22">
        <v>2.46</v>
      </c>
      <c r="D19" s="44">
        <f t="shared" si="7"/>
        <v>3198000</v>
      </c>
      <c r="E19" s="12"/>
      <c r="F19" s="45">
        <f t="shared" si="8"/>
        <v>0</v>
      </c>
      <c r="G19" s="22"/>
      <c r="H19" s="45">
        <f t="shared" si="10"/>
        <v>0</v>
      </c>
      <c r="I19" s="45">
        <v>1300000</v>
      </c>
      <c r="J19" s="44">
        <f t="shared" si="2"/>
        <v>95940</v>
      </c>
      <c r="K19" s="44">
        <f t="shared" si="9"/>
        <v>559650</v>
      </c>
      <c r="L19" s="44">
        <f t="shared" si="3"/>
        <v>655590</v>
      </c>
      <c r="M19" s="44">
        <f t="shared" si="4"/>
        <v>47970</v>
      </c>
      <c r="N19" s="44">
        <f t="shared" si="5"/>
        <v>255840</v>
      </c>
      <c r="O19" s="44">
        <f t="shared" si="6"/>
        <v>303810</v>
      </c>
      <c r="P19" s="44"/>
      <c r="Q19" s="44"/>
      <c r="R19" s="44"/>
      <c r="S19" s="18"/>
      <c r="T19" s="18"/>
    </row>
    <row r="20" spans="1:20" ht="15.75">
      <c r="A20" s="21">
        <v>12</v>
      </c>
      <c r="B20" s="18" t="s">
        <v>118</v>
      </c>
      <c r="C20" s="22">
        <v>2.46</v>
      </c>
      <c r="D20" s="44">
        <f t="shared" si="7"/>
        <v>3198000</v>
      </c>
      <c r="E20" s="12"/>
      <c r="F20" s="45">
        <f t="shared" si="8"/>
        <v>0</v>
      </c>
      <c r="G20" s="22"/>
      <c r="H20" s="45">
        <f t="shared" si="10"/>
        <v>0</v>
      </c>
      <c r="I20" s="45">
        <v>1300000</v>
      </c>
      <c r="J20" s="44">
        <f t="shared" si="2"/>
        <v>95940</v>
      </c>
      <c r="K20" s="44">
        <f t="shared" si="9"/>
        <v>559650</v>
      </c>
      <c r="L20" s="44">
        <f t="shared" si="3"/>
        <v>655590</v>
      </c>
      <c r="M20" s="44">
        <f t="shared" si="4"/>
        <v>47970</v>
      </c>
      <c r="N20" s="44">
        <f t="shared" si="5"/>
        <v>255840</v>
      </c>
      <c r="O20" s="44">
        <f t="shared" si="6"/>
        <v>303810</v>
      </c>
      <c r="P20" s="44"/>
      <c r="Q20" s="44"/>
      <c r="R20" s="44"/>
      <c r="S20" s="18"/>
      <c r="T20" s="18"/>
    </row>
    <row r="21" spans="1:20" ht="15.75">
      <c r="A21" s="21">
        <v>13</v>
      </c>
      <c r="B21" s="18" t="s">
        <v>119</v>
      </c>
      <c r="C21" s="22">
        <v>2.06</v>
      </c>
      <c r="D21" s="44">
        <f t="shared" si="7"/>
        <v>2678000</v>
      </c>
      <c r="E21" s="12"/>
      <c r="F21" s="45">
        <f t="shared" si="8"/>
        <v>0</v>
      </c>
      <c r="G21" s="22"/>
      <c r="H21" s="45">
        <f t="shared" si="10"/>
        <v>0</v>
      </c>
      <c r="I21" s="45">
        <v>1300000</v>
      </c>
      <c r="J21" s="44">
        <f t="shared" si="2"/>
        <v>80340</v>
      </c>
      <c r="K21" s="44">
        <f t="shared" si="9"/>
        <v>468649.99999999994</v>
      </c>
      <c r="L21" s="44">
        <f t="shared" si="3"/>
        <v>548990</v>
      </c>
      <c r="M21" s="44">
        <f t="shared" si="4"/>
        <v>40170</v>
      </c>
      <c r="N21" s="44">
        <f t="shared" si="5"/>
        <v>214240</v>
      </c>
      <c r="O21" s="44">
        <f t="shared" si="6"/>
        <v>254410</v>
      </c>
      <c r="P21" s="44"/>
      <c r="Q21" s="44"/>
      <c r="R21" s="44"/>
      <c r="S21" s="18"/>
      <c r="T21" s="18"/>
    </row>
    <row r="22" spans="1:20" ht="15.75">
      <c r="A22" s="21">
        <v>14</v>
      </c>
      <c r="B22" s="18" t="s">
        <v>219</v>
      </c>
      <c r="C22" s="22">
        <v>2.67</v>
      </c>
      <c r="D22" s="44">
        <f t="shared" si="7"/>
        <v>3471000</v>
      </c>
      <c r="E22" s="12"/>
      <c r="F22" s="45">
        <f t="shared" si="8"/>
        <v>0</v>
      </c>
      <c r="G22" s="22"/>
      <c r="H22" s="45">
        <f t="shared" si="10"/>
        <v>0</v>
      </c>
      <c r="I22" s="45">
        <v>1300000</v>
      </c>
      <c r="J22" s="44">
        <f t="shared" si="2"/>
        <v>104130</v>
      </c>
      <c r="K22" s="44">
        <f t="shared" si="9"/>
        <v>607425</v>
      </c>
      <c r="L22" s="44">
        <f t="shared" si="3"/>
        <v>711555</v>
      </c>
      <c r="M22" s="44">
        <f t="shared" si="4"/>
        <v>52065</v>
      </c>
      <c r="N22" s="44">
        <f t="shared" si="5"/>
        <v>277680</v>
      </c>
      <c r="O22" s="44">
        <f t="shared" si="6"/>
        <v>329745</v>
      </c>
      <c r="P22" s="44"/>
      <c r="Q22" s="44"/>
      <c r="R22" s="44"/>
      <c r="S22" s="18"/>
      <c r="T22" s="18"/>
    </row>
    <row r="23" spans="1:20" ht="15.75">
      <c r="A23" s="21"/>
      <c r="B23" s="18"/>
      <c r="C23" s="22"/>
      <c r="D23" s="44"/>
      <c r="E23" s="12"/>
      <c r="F23" s="45"/>
      <c r="G23" s="22"/>
      <c r="H23" s="45"/>
      <c r="I23" s="45"/>
      <c r="J23" s="44"/>
      <c r="K23" s="44"/>
      <c r="L23" s="44"/>
      <c r="M23" s="44"/>
      <c r="N23" s="44"/>
      <c r="O23" s="44"/>
      <c r="P23" s="44"/>
      <c r="Q23" s="44"/>
      <c r="R23" s="44"/>
      <c r="S23" s="18"/>
      <c r="T23" s="18"/>
    </row>
    <row r="24" spans="1:20" ht="15.75">
      <c r="A24" s="21"/>
      <c r="B24" s="18"/>
      <c r="C24" s="22"/>
      <c r="D24" s="44"/>
      <c r="E24" s="12"/>
      <c r="F24" s="45"/>
      <c r="G24" s="22"/>
      <c r="H24" s="45"/>
      <c r="I24" s="45"/>
      <c r="J24" s="44"/>
      <c r="K24" s="44"/>
      <c r="L24" s="44"/>
      <c r="M24" s="44"/>
      <c r="N24" s="44"/>
      <c r="O24" s="44"/>
      <c r="P24" s="44"/>
      <c r="Q24" s="44"/>
      <c r="R24" s="44"/>
      <c r="S24" s="18"/>
      <c r="T24" s="18"/>
    </row>
    <row r="25" spans="1:20" ht="20.25" customHeight="1">
      <c r="A25" s="16"/>
      <c r="B25" s="19" t="s">
        <v>1</v>
      </c>
      <c r="C25" s="20">
        <v>1.86</v>
      </c>
      <c r="D25" s="46">
        <f>D26</f>
        <v>2139000</v>
      </c>
      <c r="E25" s="9">
        <f>E26</f>
        <v>0</v>
      </c>
      <c r="F25" s="9">
        <f>F26</f>
        <v>0</v>
      </c>
      <c r="G25" s="9">
        <f>G26</f>
        <v>0</v>
      </c>
      <c r="H25" s="46"/>
      <c r="I25" s="45">
        <v>1300000</v>
      </c>
      <c r="J25" s="46">
        <f aca="true" t="shared" si="11" ref="J25:O25">J26</f>
        <v>64170</v>
      </c>
      <c r="K25" s="46">
        <f t="shared" si="11"/>
        <v>374325</v>
      </c>
      <c r="L25" s="46">
        <f t="shared" si="11"/>
        <v>438495</v>
      </c>
      <c r="M25" s="46">
        <f t="shared" si="11"/>
        <v>32085</v>
      </c>
      <c r="N25" s="46">
        <f t="shared" si="11"/>
        <v>171120</v>
      </c>
      <c r="O25" s="46">
        <f t="shared" si="11"/>
        <v>203205</v>
      </c>
      <c r="P25" s="46"/>
      <c r="Q25" s="46"/>
      <c r="R25" s="46"/>
      <c r="S25" s="23"/>
      <c r="T25" s="23"/>
    </row>
    <row r="26" spans="1:20" ht="20.25" customHeight="1">
      <c r="A26" s="21">
        <v>15</v>
      </c>
      <c r="B26" s="1" t="s">
        <v>143</v>
      </c>
      <c r="C26" s="22">
        <v>1.86</v>
      </c>
      <c r="D26" s="44">
        <f>(C26*1150000)</f>
        <v>2139000</v>
      </c>
      <c r="E26" s="10"/>
      <c r="F26" s="9"/>
      <c r="G26" s="10"/>
      <c r="H26" s="46"/>
      <c r="I26" s="45">
        <v>1300000</v>
      </c>
      <c r="J26" s="44">
        <f>(D26+F26+H26)*3%</f>
        <v>64170</v>
      </c>
      <c r="K26" s="44">
        <f>(D26+F26+H26)*17.5%</f>
        <v>374325</v>
      </c>
      <c r="L26" s="44">
        <f>J26+K26</f>
        <v>438495</v>
      </c>
      <c r="M26" s="44">
        <f>(D26+F26+H26)*1.5%</f>
        <v>32085</v>
      </c>
      <c r="N26" s="44">
        <f>(D26+F26+H26)*8%</f>
        <v>171120</v>
      </c>
      <c r="O26" s="44">
        <f>M26+N26</f>
        <v>203205</v>
      </c>
      <c r="P26" s="44"/>
      <c r="Q26" s="44"/>
      <c r="R26" s="44"/>
      <c r="S26" s="23"/>
      <c r="T26" s="23"/>
    </row>
    <row r="27" spans="1:20" ht="20.25" customHeight="1">
      <c r="A27" s="16"/>
      <c r="B27" s="23" t="s">
        <v>25</v>
      </c>
      <c r="C27" s="24">
        <f>C28</f>
        <v>2.06</v>
      </c>
      <c r="D27" s="46">
        <f>D28</f>
        <v>2678000</v>
      </c>
      <c r="E27" s="11">
        <f>E28</f>
        <v>0</v>
      </c>
      <c r="F27" s="9"/>
      <c r="G27" s="11">
        <f>G28</f>
        <v>0</v>
      </c>
      <c r="H27" s="13">
        <f>H28</f>
        <v>0</v>
      </c>
      <c r="I27" s="45">
        <v>1300000</v>
      </c>
      <c r="J27" s="46">
        <f aca="true" t="shared" si="12" ref="J27:O27">J28</f>
        <v>80340</v>
      </c>
      <c r="K27" s="46">
        <f t="shared" si="12"/>
        <v>468649.99999999994</v>
      </c>
      <c r="L27" s="46">
        <f t="shared" si="12"/>
        <v>548990</v>
      </c>
      <c r="M27" s="46">
        <f t="shared" si="12"/>
        <v>40170</v>
      </c>
      <c r="N27" s="46">
        <f t="shared" si="12"/>
        <v>214240</v>
      </c>
      <c r="O27" s="46">
        <f t="shared" si="12"/>
        <v>254410</v>
      </c>
      <c r="P27" s="46"/>
      <c r="Q27" s="46"/>
      <c r="R27" s="46"/>
      <c r="S27" s="23"/>
      <c r="T27" s="23"/>
    </row>
    <row r="28" spans="1:20" ht="20.25" customHeight="1">
      <c r="A28" s="16">
        <v>16</v>
      </c>
      <c r="B28" s="18" t="s">
        <v>121</v>
      </c>
      <c r="C28" s="22">
        <v>2.06</v>
      </c>
      <c r="D28" s="44">
        <f>C28*I28</f>
        <v>2678000</v>
      </c>
      <c r="E28" s="12"/>
      <c r="F28" s="9"/>
      <c r="G28" s="22"/>
      <c r="H28" s="45"/>
      <c r="I28" s="45">
        <v>1300000</v>
      </c>
      <c r="J28" s="44">
        <f>(D28+F28+H28)*3%</f>
        <v>80340</v>
      </c>
      <c r="K28" s="44">
        <f>(D28+F28+H28)*17.5%</f>
        <v>468649.99999999994</v>
      </c>
      <c r="L28" s="44">
        <f>J28+K28</f>
        <v>548990</v>
      </c>
      <c r="M28" s="44">
        <f>(D28+F28+H28)*1.5%</f>
        <v>40170</v>
      </c>
      <c r="N28" s="44">
        <f>(D28+F28+H28)*8%</f>
        <v>214240</v>
      </c>
      <c r="O28" s="44">
        <f>M28+N28</f>
        <v>254410</v>
      </c>
      <c r="P28" s="44"/>
      <c r="Q28" s="44"/>
      <c r="R28" s="44"/>
      <c r="S28" s="23"/>
      <c r="T28" s="23"/>
    </row>
    <row r="29" spans="1:20" ht="20.25" customHeight="1">
      <c r="A29" s="16"/>
      <c r="B29" s="23" t="s">
        <v>3</v>
      </c>
      <c r="C29" s="24">
        <f>C30</f>
        <v>2.06</v>
      </c>
      <c r="D29" s="46">
        <f>D30</f>
        <v>2369000</v>
      </c>
      <c r="E29" s="11">
        <f>E30</f>
        <v>0</v>
      </c>
      <c r="F29" s="9"/>
      <c r="G29" s="11">
        <f>G30</f>
        <v>0.15</v>
      </c>
      <c r="H29" s="13">
        <f>H30</f>
        <v>172500</v>
      </c>
      <c r="I29" s="45">
        <v>1300000</v>
      </c>
      <c r="J29" s="46">
        <f aca="true" t="shared" si="13" ref="J29:O29">J30</f>
        <v>76245</v>
      </c>
      <c r="K29" s="46">
        <f t="shared" si="13"/>
        <v>444762.5</v>
      </c>
      <c r="L29" s="46">
        <f t="shared" si="13"/>
        <v>521007.5</v>
      </c>
      <c r="M29" s="46">
        <f t="shared" si="13"/>
        <v>38122.5</v>
      </c>
      <c r="N29" s="46">
        <f t="shared" si="13"/>
        <v>203320</v>
      </c>
      <c r="O29" s="46">
        <f t="shared" si="13"/>
        <v>241442.5</v>
      </c>
      <c r="P29" s="46"/>
      <c r="Q29" s="46"/>
      <c r="R29" s="46"/>
      <c r="S29" s="23"/>
      <c r="T29" s="23"/>
    </row>
    <row r="30" spans="1:20" ht="20.25" customHeight="1">
      <c r="A30" s="16">
        <v>17</v>
      </c>
      <c r="B30" s="18" t="s">
        <v>144</v>
      </c>
      <c r="C30" s="22">
        <v>2.06</v>
      </c>
      <c r="D30" s="44">
        <f>(C30*1150000)</f>
        <v>2369000</v>
      </c>
      <c r="E30" s="12"/>
      <c r="F30" s="9"/>
      <c r="G30" s="22">
        <v>0.15</v>
      </c>
      <c r="H30" s="45">
        <f>(G30*1150000)</f>
        <v>172500</v>
      </c>
      <c r="I30" s="45">
        <v>1300000</v>
      </c>
      <c r="J30" s="44">
        <f>(D30+F30+H30)*3%</f>
        <v>76245</v>
      </c>
      <c r="K30" s="44">
        <f>(D30+F30+H30)*17.5%</f>
        <v>444762.5</v>
      </c>
      <c r="L30" s="44">
        <f>J30+K30</f>
        <v>521007.5</v>
      </c>
      <c r="M30" s="44">
        <f>(D30+F30+H30)*1.5%</f>
        <v>38122.5</v>
      </c>
      <c r="N30" s="44">
        <f>(D30+F30+H30)*8%</f>
        <v>203320</v>
      </c>
      <c r="O30" s="44">
        <f>M30+N30</f>
        <v>241442.5</v>
      </c>
      <c r="P30" s="44"/>
      <c r="Q30" s="44"/>
      <c r="R30" s="44"/>
      <c r="S30" s="23"/>
      <c r="T30" s="23"/>
    </row>
    <row r="31" spans="1:20" ht="15.75">
      <c r="A31" s="16"/>
      <c r="B31" s="23" t="s">
        <v>4</v>
      </c>
      <c r="C31" s="24">
        <f>C32</f>
        <v>2.25</v>
      </c>
      <c r="D31" s="46">
        <f>D32</f>
        <v>2925000</v>
      </c>
      <c r="E31" s="13">
        <f>E32</f>
        <v>0</v>
      </c>
      <c r="F31" s="9"/>
      <c r="G31" s="11">
        <f>G32</f>
        <v>0</v>
      </c>
      <c r="H31" s="13">
        <f>H32</f>
        <v>0</v>
      </c>
      <c r="I31" s="45">
        <v>1300000</v>
      </c>
      <c r="J31" s="46">
        <f aca="true" t="shared" si="14" ref="J31:O31">J32</f>
        <v>87750</v>
      </c>
      <c r="K31" s="46">
        <f t="shared" si="14"/>
        <v>511874.99999999994</v>
      </c>
      <c r="L31" s="46">
        <f t="shared" si="14"/>
        <v>599625</v>
      </c>
      <c r="M31" s="46">
        <f t="shared" si="14"/>
        <v>43875</v>
      </c>
      <c r="N31" s="46">
        <f t="shared" si="14"/>
        <v>234000</v>
      </c>
      <c r="O31" s="46">
        <f t="shared" si="14"/>
        <v>277875</v>
      </c>
      <c r="P31" s="46"/>
      <c r="Q31" s="46"/>
      <c r="R31" s="46"/>
      <c r="S31" s="46"/>
      <c r="T31" s="18"/>
    </row>
    <row r="32" spans="1:20" ht="15.75">
      <c r="A32" s="16">
        <v>18</v>
      </c>
      <c r="B32" s="18" t="s">
        <v>122</v>
      </c>
      <c r="C32" s="22">
        <v>2.25</v>
      </c>
      <c r="D32" s="44">
        <f>C32*I32</f>
        <v>2925000</v>
      </c>
      <c r="E32" s="12"/>
      <c r="F32" s="9"/>
      <c r="G32" s="22"/>
      <c r="H32" s="45">
        <f>(G32*1150000)</f>
        <v>0</v>
      </c>
      <c r="I32" s="45">
        <v>1300000</v>
      </c>
      <c r="J32" s="44">
        <f>(D32+F32+H32)*3%</f>
        <v>87750</v>
      </c>
      <c r="K32" s="44">
        <f>(D32+F32+H32)*17.5%</f>
        <v>511874.99999999994</v>
      </c>
      <c r="L32" s="44">
        <f>J32+K32</f>
        <v>599625</v>
      </c>
      <c r="M32" s="44">
        <f>(D32+F32+H32)*1.5%</f>
        <v>43875</v>
      </c>
      <c r="N32" s="44">
        <f>(D32+F32+H32)*8%</f>
        <v>234000</v>
      </c>
      <c r="O32" s="44">
        <f>M32+N32</f>
        <v>277875</v>
      </c>
      <c r="P32" s="44"/>
      <c r="Q32" s="44"/>
      <c r="R32" s="44"/>
      <c r="S32" s="44"/>
      <c r="T32" s="18"/>
    </row>
    <row r="33" spans="1:20" ht="20.25" customHeight="1">
      <c r="A33" s="16"/>
      <c r="B33" s="23" t="s">
        <v>5</v>
      </c>
      <c r="C33" s="24">
        <f>C34</f>
        <v>1.86</v>
      </c>
      <c r="D33" s="46">
        <f>D34</f>
        <v>2418000</v>
      </c>
      <c r="E33" s="13">
        <f>E34</f>
        <v>0</v>
      </c>
      <c r="F33" s="9"/>
      <c r="G33" s="11">
        <f>G34</f>
        <v>0.15</v>
      </c>
      <c r="H33" s="13">
        <f>H34</f>
        <v>172500</v>
      </c>
      <c r="I33" s="45">
        <v>1300000</v>
      </c>
      <c r="J33" s="42">
        <f aca="true" t="shared" si="15" ref="J33:O33">J34</f>
        <v>77715</v>
      </c>
      <c r="K33" s="42">
        <f t="shared" si="15"/>
        <v>453337.5</v>
      </c>
      <c r="L33" s="42">
        <f t="shared" si="15"/>
        <v>531052.5</v>
      </c>
      <c r="M33" s="42">
        <f t="shared" si="15"/>
        <v>38857.5</v>
      </c>
      <c r="N33" s="42">
        <f t="shared" si="15"/>
        <v>207240</v>
      </c>
      <c r="O33" s="42">
        <f t="shared" si="15"/>
        <v>246097.5</v>
      </c>
      <c r="P33" s="42"/>
      <c r="Q33" s="42"/>
      <c r="R33" s="42"/>
      <c r="S33" s="23"/>
      <c r="T33" s="23"/>
    </row>
    <row r="34" spans="1:20" ht="20.25" customHeight="1">
      <c r="A34" s="16">
        <v>19</v>
      </c>
      <c r="B34" s="18" t="s">
        <v>123</v>
      </c>
      <c r="C34" s="22">
        <v>1.86</v>
      </c>
      <c r="D34" s="44">
        <f>C34*I34</f>
        <v>2418000</v>
      </c>
      <c r="E34" s="10"/>
      <c r="F34" s="9"/>
      <c r="G34" s="22">
        <v>0.15</v>
      </c>
      <c r="H34" s="45">
        <f>(G34*1150000)</f>
        <v>172500</v>
      </c>
      <c r="I34" s="45">
        <v>1300000</v>
      </c>
      <c r="J34" s="44">
        <f>(D34+F34+H34)*3%</f>
        <v>77715</v>
      </c>
      <c r="K34" s="44">
        <f>(D34+F34+H34)*17.5%</f>
        <v>453337.5</v>
      </c>
      <c r="L34" s="44">
        <f>J34+K34</f>
        <v>531052.5</v>
      </c>
      <c r="M34" s="44">
        <f>(D34+F34+H34)*1.5%</f>
        <v>38857.5</v>
      </c>
      <c r="N34" s="44">
        <f>(D34+F34+H34)*8%</f>
        <v>207240</v>
      </c>
      <c r="O34" s="44">
        <f>M34+N34</f>
        <v>246097.5</v>
      </c>
      <c r="P34" s="44"/>
      <c r="Q34" s="44"/>
      <c r="R34" s="44"/>
      <c r="S34" s="23"/>
      <c r="T34" s="23"/>
    </row>
    <row r="35" spans="1:20" ht="20.25" customHeight="1">
      <c r="A35" s="16"/>
      <c r="B35" s="23" t="s">
        <v>6</v>
      </c>
      <c r="C35" s="25">
        <f>C36</f>
        <v>2.25</v>
      </c>
      <c r="D35" s="46">
        <f>D36</f>
        <v>2925000</v>
      </c>
      <c r="E35" s="13">
        <f>E36</f>
        <v>0</v>
      </c>
      <c r="F35" s="9"/>
      <c r="G35" s="13">
        <f>G36</f>
        <v>0</v>
      </c>
      <c r="H35" s="46"/>
      <c r="I35" s="45">
        <v>1300000</v>
      </c>
      <c r="J35" s="46">
        <f aca="true" t="shared" si="16" ref="J35:O35">J36</f>
        <v>87750</v>
      </c>
      <c r="K35" s="46">
        <f t="shared" si="16"/>
        <v>511874.99999999994</v>
      </c>
      <c r="L35" s="46">
        <f t="shared" si="16"/>
        <v>599625</v>
      </c>
      <c r="M35" s="46">
        <f t="shared" si="16"/>
        <v>43875</v>
      </c>
      <c r="N35" s="46">
        <f t="shared" si="16"/>
        <v>234000</v>
      </c>
      <c r="O35" s="46">
        <f t="shared" si="16"/>
        <v>277875</v>
      </c>
      <c r="P35" s="46"/>
      <c r="Q35" s="46"/>
      <c r="R35" s="46"/>
      <c r="S35" s="23"/>
      <c r="T35" s="23"/>
    </row>
    <row r="36" spans="1:20" ht="20.25" customHeight="1">
      <c r="A36" s="16">
        <v>20</v>
      </c>
      <c r="B36" s="18" t="s">
        <v>124</v>
      </c>
      <c r="C36" s="22">
        <v>2.25</v>
      </c>
      <c r="D36" s="44">
        <f>C36*I36</f>
        <v>2925000</v>
      </c>
      <c r="E36" s="10"/>
      <c r="F36" s="9"/>
      <c r="G36" s="10"/>
      <c r="H36" s="46"/>
      <c r="I36" s="45">
        <v>1300000</v>
      </c>
      <c r="J36" s="44">
        <f>(D36+F36+H36)*3%</f>
        <v>87750</v>
      </c>
      <c r="K36" s="44">
        <f>(D36+F36+H36)*17.5%</f>
        <v>511874.99999999994</v>
      </c>
      <c r="L36" s="44">
        <f>J36+K36</f>
        <v>599625</v>
      </c>
      <c r="M36" s="44">
        <f>(D36+F36+H36)*1.5%</f>
        <v>43875</v>
      </c>
      <c r="N36" s="44">
        <f>(D36+F36+H36)*8%</f>
        <v>234000</v>
      </c>
      <c r="O36" s="44">
        <f>M36+N36</f>
        <v>277875</v>
      </c>
      <c r="P36" s="44"/>
      <c r="Q36" s="44"/>
      <c r="R36" s="44"/>
      <c r="S36" s="23"/>
      <c r="T36" s="23"/>
    </row>
    <row r="37" spans="1:20" ht="20.25" customHeight="1">
      <c r="A37" s="16"/>
      <c r="B37" s="23" t="s">
        <v>2</v>
      </c>
      <c r="C37" s="25">
        <f>C38+C39</f>
        <v>2.86</v>
      </c>
      <c r="D37" s="46">
        <f>D38+D39</f>
        <v>3718000</v>
      </c>
      <c r="E37" s="11">
        <f>E38+E39</f>
        <v>0</v>
      </c>
      <c r="F37" s="46">
        <f>F38+F39</f>
        <v>0</v>
      </c>
      <c r="G37" s="11"/>
      <c r="H37" s="13"/>
      <c r="I37" s="45">
        <v>1300000</v>
      </c>
      <c r="J37" s="46">
        <f aca="true" t="shared" si="17" ref="J37:O37">J38+J39</f>
        <v>123240</v>
      </c>
      <c r="K37" s="46">
        <f t="shared" si="17"/>
        <v>718900</v>
      </c>
      <c r="L37" s="46">
        <f t="shared" si="17"/>
        <v>842140</v>
      </c>
      <c r="M37" s="46">
        <f t="shared" si="17"/>
        <v>61620</v>
      </c>
      <c r="N37" s="46">
        <f t="shared" si="17"/>
        <v>328640</v>
      </c>
      <c r="O37" s="46">
        <f t="shared" si="17"/>
        <v>390260</v>
      </c>
      <c r="P37" s="46"/>
      <c r="Q37" s="46"/>
      <c r="R37" s="46"/>
      <c r="S37" s="23"/>
      <c r="T37" s="23"/>
    </row>
    <row r="38" spans="1:20" ht="20.25" customHeight="1">
      <c r="A38" s="16"/>
      <c r="B38" s="18"/>
      <c r="C38" s="22"/>
      <c r="D38" s="44"/>
      <c r="E38" s="12"/>
      <c r="F38" s="45"/>
      <c r="G38" s="22"/>
      <c r="H38" s="45">
        <f>G38*I38</f>
        <v>0</v>
      </c>
      <c r="I38" s="45">
        <v>1300000</v>
      </c>
      <c r="J38" s="44">
        <f>(D38+F38+H38)*3%</f>
        <v>0</v>
      </c>
      <c r="K38" s="44">
        <f>(D38+F38+H38)*18%</f>
        <v>0</v>
      </c>
      <c r="L38" s="44">
        <f>J38+K38</f>
        <v>0</v>
      </c>
      <c r="M38" s="44">
        <f>(D38+F38+H38)*1.5%</f>
        <v>0</v>
      </c>
      <c r="N38" s="44">
        <f>(D38+F38+H38)*8%</f>
        <v>0</v>
      </c>
      <c r="O38" s="44">
        <f>M38+N38</f>
        <v>0</v>
      </c>
      <c r="P38" s="44"/>
      <c r="Q38" s="44"/>
      <c r="R38" s="44"/>
      <c r="S38" s="44"/>
      <c r="T38" s="18"/>
    </row>
    <row r="39" spans="1:20" ht="20.25" customHeight="1">
      <c r="A39" s="16">
        <v>21</v>
      </c>
      <c r="B39" s="18" t="s">
        <v>145</v>
      </c>
      <c r="C39" s="22">
        <v>2.86</v>
      </c>
      <c r="D39" s="44">
        <f>C39*I39</f>
        <v>3718000</v>
      </c>
      <c r="E39" s="12"/>
      <c r="F39" s="9"/>
      <c r="G39" s="22">
        <v>0.3</v>
      </c>
      <c r="H39" s="45">
        <f>G39*I39</f>
        <v>390000</v>
      </c>
      <c r="I39" s="45">
        <v>1300000</v>
      </c>
      <c r="J39" s="44">
        <f>(D39+F39+H39)*3%</f>
        <v>123240</v>
      </c>
      <c r="K39" s="44">
        <f>(D39+F39+H39)*17.5%</f>
        <v>718900</v>
      </c>
      <c r="L39" s="44">
        <f>J39+K39</f>
        <v>842140</v>
      </c>
      <c r="M39" s="44">
        <f>(D39+F39+H39)*1.5%</f>
        <v>61620</v>
      </c>
      <c r="N39" s="44">
        <f>(D39+F39+H39)*8%</f>
        <v>328640</v>
      </c>
      <c r="O39" s="44">
        <f>M39+N39</f>
        <v>390260</v>
      </c>
      <c r="P39" s="44"/>
      <c r="Q39" s="44"/>
      <c r="R39" s="44"/>
      <c r="S39" s="44"/>
      <c r="T39" s="18"/>
    </row>
    <row r="40" spans="1:20" ht="20.25" customHeight="1">
      <c r="A40" s="23"/>
      <c r="B40" s="23" t="s">
        <v>12</v>
      </c>
      <c r="C40" s="27">
        <f>C41</f>
        <v>2.45</v>
      </c>
      <c r="D40" s="46">
        <f>D41</f>
        <v>3185000</v>
      </c>
      <c r="E40" s="29">
        <f>E41</f>
        <v>0</v>
      </c>
      <c r="F40" s="29">
        <f>F41</f>
        <v>0</v>
      </c>
      <c r="G40" s="29">
        <f>G41</f>
        <v>0</v>
      </c>
      <c r="H40" s="46"/>
      <c r="I40" s="45">
        <v>1300000</v>
      </c>
      <c r="J40" s="46">
        <f aca="true" t="shared" si="18" ref="J40:O40">J41</f>
        <v>95550</v>
      </c>
      <c r="K40" s="46">
        <f t="shared" si="18"/>
        <v>557375</v>
      </c>
      <c r="L40" s="46">
        <f t="shared" si="18"/>
        <v>652925</v>
      </c>
      <c r="M40" s="46">
        <f t="shared" si="18"/>
        <v>47775</v>
      </c>
      <c r="N40" s="46">
        <f t="shared" si="18"/>
        <v>254800</v>
      </c>
      <c r="O40" s="46">
        <f t="shared" si="18"/>
        <v>302575</v>
      </c>
      <c r="P40" s="46"/>
      <c r="Q40" s="46"/>
      <c r="R40" s="46"/>
      <c r="S40" s="23"/>
      <c r="T40" s="23"/>
    </row>
    <row r="41" spans="1:20" ht="20.25" customHeight="1">
      <c r="A41" s="16">
        <v>22</v>
      </c>
      <c r="B41" s="18" t="s">
        <v>125</v>
      </c>
      <c r="C41" s="26">
        <v>2.45</v>
      </c>
      <c r="D41" s="44">
        <f>C41*I41</f>
        <v>3185000</v>
      </c>
      <c r="E41" s="14"/>
      <c r="F41" s="9"/>
      <c r="G41" s="14"/>
      <c r="H41" s="46"/>
      <c r="I41" s="45">
        <v>1300000</v>
      </c>
      <c r="J41" s="44">
        <f>(D41+F41+H41)*3%</f>
        <v>95550</v>
      </c>
      <c r="K41" s="44">
        <f>(D41+F41+H41)*17.5%</f>
        <v>557375</v>
      </c>
      <c r="L41" s="44">
        <f>J41+K41</f>
        <v>652925</v>
      </c>
      <c r="M41" s="44">
        <f>(D41+F41+H41)*1.5%</f>
        <v>47775</v>
      </c>
      <c r="N41" s="44">
        <f>(D41+F41+H41)*8%</f>
        <v>254800</v>
      </c>
      <c r="O41" s="44">
        <f>M41+N41</f>
        <v>302575</v>
      </c>
      <c r="P41" s="44"/>
      <c r="Q41" s="44"/>
      <c r="R41" s="44"/>
      <c r="S41" s="23"/>
      <c r="T41" s="23"/>
    </row>
    <row r="42" spans="1:20" ht="20.25" customHeight="1">
      <c r="A42" s="16"/>
      <c r="B42" s="23" t="s">
        <v>13</v>
      </c>
      <c r="C42" s="8">
        <f>C8+C26+C27+C29+C31+C33+C35+C37+C40</f>
        <v>52.2</v>
      </c>
      <c r="D42" s="28">
        <f>D8+D25+D27+D29+D31+D33+D35+D37+D40</f>
        <v>67272000</v>
      </c>
      <c r="E42" s="8">
        <f>E8+E25+E27+E29+E31+E33+E35+E37+E40</f>
        <v>0</v>
      </c>
      <c r="F42" s="28">
        <f>F8+F25+F27+F29+F31+F33+F35+F37+F40</f>
        <v>0</v>
      </c>
      <c r="G42" s="8">
        <f>G8+G25+G27+G29+G31+G33+G35+G37+G40</f>
        <v>1.1999999999999997</v>
      </c>
      <c r="H42" s="28">
        <f>H8+H25+H27+H29+H31+H33+H35+H37+H40</f>
        <v>1515000</v>
      </c>
      <c r="I42" s="28"/>
      <c r="J42" s="28">
        <f aca="true" t="shared" si="19" ref="J42:O42">J8+J25+J27+J29+J31+J33+J35+J37+J40</f>
        <v>2075310</v>
      </c>
      <c r="K42" s="28">
        <f t="shared" si="19"/>
        <v>12105975</v>
      </c>
      <c r="L42" s="28">
        <f t="shared" si="19"/>
        <v>14181285</v>
      </c>
      <c r="M42" s="28">
        <f t="shared" si="19"/>
        <v>1037655</v>
      </c>
      <c r="N42" s="28">
        <f t="shared" si="19"/>
        <v>5534160</v>
      </c>
      <c r="O42" s="28">
        <f t="shared" si="19"/>
        <v>6571815</v>
      </c>
      <c r="P42" s="28"/>
      <c r="Q42" s="28"/>
      <c r="R42" s="28"/>
      <c r="S42" s="18"/>
      <c r="T42" s="18"/>
    </row>
    <row r="43" spans="3:15" ht="15.75">
      <c r="C43" s="47">
        <f>C8+C37+D45</f>
        <v>52.48</v>
      </c>
      <c r="D43" s="36">
        <f>C41+C36+C34+C32+C30</f>
        <v>10.870000000000001</v>
      </c>
      <c r="E43" s="48"/>
      <c r="J43" s="156"/>
      <c r="K43" s="156"/>
      <c r="L43" s="52"/>
      <c r="M43" s="156"/>
      <c r="N43" s="156"/>
      <c r="O43" s="58"/>
    </row>
    <row r="44" spans="1:15" ht="15.75">
      <c r="A44" s="158"/>
      <c r="B44" s="158"/>
      <c r="C44" s="8">
        <f>C8+C25+C37+D43+C27</f>
        <v>52.2</v>
      </c>
      <c r="D44" s="36">
        <f>0.7*6</f>
        <v>4.199999999999999</v>
      </c>
      <c r="E44" s="36"/>
      <c r="F44" s="5"/>
      <c r="G44" s="5"/>
      <c r="H44" s="5"/>
      <c r="I44" s="5"/>
      <c r="J44" s="158"/>
      <c r="K44" s="158"/>
      <c r="L44" s="53"/>
      <c r="M44" s="158"/>
      <c r="N44" s="158"/>
      <c r="O44" s="59"/>
    </row>
    <row r="45" spans="4:6" ht="17.25">
      <c r="D45" s="49">
        <f>SUM(D43:D44)</f>
        <v>15.07</v>
      </c>
      <c r="E45" s="36">
        <f>13.68</f>
        <v>13.68</v>
      </c>
      <c r="F45" s="38">
        <f>D45-E45</f>
        <v>1.3900000000000006</v>
      </c>
    </row>
    <row r="47" ht="15.75">
      <c r="D47" s="6">
        <v>2.76</v>
      </c>
    </row>
    <row r="48" ht="15.75">
      <c r="D48" s="6">
        <v>2.56</v>
      </c>
    </row>
    <row r="49" ht="15.75">
      <c r="D49" s="6">
        <v>2.56</v>
      </c>
    </row>
    <row r="50" ht="15.75">
      <c r="D50" s="6">
        <v>2.45</v>
      </c>
    </row>
    <row r="51" ht="15.75">
      <c r="D51" s="6">
        <v>3.35</v>
      </c>
    </row>
    <row r="53" ht="15.75">
      <c r="D53" s="50">
        <f>SUM(D47:D52)</f>
        <v>13.680000000000001</v>
      </c>
    </row>
  </sheetData>
  <sheetProtection/>
  <mergeCells count="24">
    <mergeCell ref="M43:N43"/>
    <mergeCell ref="G4:H4"/>
    <mergeCell ref="A44:B44"/>
    <mergeCell ref="J44:K44"/>
    <mergeCell ref="M44:N44"/>
    <mergeCell ref="J43:K43"/>
    <mergeCell ref="T4:T6"/>
    <mergeCell ref="C5:C6"/>
    <mergeCell ref="M4:O5"/>
    <mergeCell ref="D5:D6"/>
    <mergeCell ref="E5:F5"/>
    <mergeCell ref="G5:H5"/>
    <mergeCell ref="J4:L5"/>
    <mergeCell ref="I4:I6"/>
    <mergeCell ref="A1:T1"/>
    <mergeCell ref="P4:P6"/>
    <mergeCell ref="Q4:Q6"/>
    <mergeCell ref="R4:R6"/>
    <mergeCell ref="S4:S6"/>
    <mergeCell ref="A2:T2"/>
    <mergeCell ref="A4:A6"/>
    <mergeCell ref="B4:B6"/>
    <mergeCell ref="C4:D4"/>
    <mergeCell ref="E4:F4"/>
  </mergeCells>
  <printOptions horizontalCentered="1"/>
  <pageMargins left="0.25" right="0.25" top="0.5" bottom="0.5" header="0.39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3"/>
  <sheetViews>
    <sheetView view="pageBreakPreview" zoomScale="90" zoomScaleNormal="90" zoomScaleSheetLayoutView="90" zoomScalePageLayoutView="0" workbookViewId="0" topLeftCell="A26">
      <selection activeCell="K42" sqref="K42"/>
    </sheetView>
  </sheetViews>
  <sheetFormatPr defaultColWidth="9.00390625" defaultRowHeight="15.75"/>
  <cols>
    <col min="1" max="1" width="3.50390625" style="6" customWidth="1"/>
    <col min="2" max="2" width="15.875" style="6" customWidth="1"/>
    <col min="3" max="3" width="8.00390625" style="6" customWidth="1"/>
    <col min="4" max="4" width="10.875" style="6" customWidth="1"/>
    <col min="5" max="5" width="6.00390625" style="7" customWidth="1"/>
    <col min="6" max="6" width="8.75390625" style="6" customWidth="1"/>
    <col min="7" max="7" width="6.625" style="7" customWidth="1"/>
    <col min="8" max="9" width="9.625" style="6" customWidth="1"/>
    <col min="10" max="10" width="11.125" style="6" customWidth="1"/>
    <col min="11" max="11" width="11.375" style="6" customWidth="1"/>
    <col min="12" max="12" width="11.125" style="51" customWidth="1"/>
    <col min="13" max="13" width="11.00390625" style="6" customWidth="1"/>
    <col min="14" max="14" width="11.50390625" style="6" customWidth="1"/>
    <col min="15" max="15" width="11.00390625" style="56" customWidth="1"/>
    <col min="16" max="16" width="10.875" style="6" customWidth="1"/>
    <col min="17" max="17" width="8.50390625" style="6" customWidth="1"/>
    <col min="18" max="19" width="11.00390625" style="6" customWidth="1"/>
    <col min="20" max="20" width="10.375" style="6" customWidth="1"/>
    <col min="21" max="21" width="11.125" style="6" bestFit="1" customWidth="1"/>
    <col min="22" max="16384" width="9.00390625" style="6" customWidth="1"/>
  </cols>
  <sheetData>
    <row r="1" spans="1:22" ht="21.75" customHeight="1">
      <c r="A1" s="158" t="s">
        <v>106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37"/>
      <c r="V1" s="37"/>
    </row>
    <row r="2" spans="1:20" ht="16.5" customHeight="1">
      <c r="A2" s="158" t="s">
        <v>188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15" ht="15.75">
      <c r="A3" s="6" t="s">
        <v>53</v>
      </c>
      <c r="D3" s="38"/>
      <c r="E3" s="39"/>
      <c r="F3" s="40"/>
      <c r="L3" s="6"/>
      <c r="O3" s="6"/>
    </row>
    <row r="4" spans="1:20" ht="15.75" customHeight="1">
      <c r="A4" s="171" t="s">
        <v>14</v>
      </c>
      <c r="B4" s="171" t="s">
        <v>24</v>
      </c>
      <c r="C4" s="174" t="s">
        <v>7</v>
      </c>
      <c r="D4" s="175"/>
      <c r="E4" s="157"/>
      <c r="F4" s="157"/>
      <c r="G4" s="157"/>
      <c r="H4" s="157"/>
      <c r="I4" s="159" t="s">
        <v>31</v>
      </c>
      <c r="J4" s="162" t="s">
        <v>22</v>
      </c>
      <c r="K4" s="163"/>
      <c r="L4" s="164"/>
      <c r="M4" s="162" t="s">
        <v>21</v>
      </c>
      <c r="N4" s="163"/>
      <c r="O4" s="164"/>
      <c r="P4" s="159" t="s">
        <v>29</v>
      </c>
      <c r="Q4" s="159" t="s">
        <v>30</v>
      </c>
      <c r="R4" s="159" t="s">
        <v>32</v>
      </c>
      <c r="S4" s="159" t="s">
        <v>33</v>
      </c>
      <c r="T4" s="159" t="s">
        <v>16</v>
      </c>
    </row>
    <row r="5" spans="1:20" ht="30" customHeight="1">
      <c r="A5" s="172"/>
      <c r="B5" s="172"/>
      <c r="C5" s="159" t="s">
        <v>9</v>
      </c>
      <c r="D5" s="159" t="s">
        <v>8</v>
      </c>
      <c r="E5" s="168" t="s">
        <v>23</v>
      </c>
      <c r="F5" s="169"/>
      <c r="G5" s="168" t="s">
        <v>10</v>
      </c>
      <c r="H5" s="170"/>
      <c r="I5" s="160"/>
      <c r="J5" s="165"/>
      <c r="K5" s="166"/>
      <c r="L5" s="167"/>
      <c r="M5" s="165"/>
      <c r="N5" s="166"/>
      <c r="O5" s="167"/>
      <c r="P5" s="160"/>
      <c r="Q5" s="160"/>
      <c r="R5" s="160"/>
      <c r="S5" s="160"/>
      <c r="T5" s="160"/>
    </row>
    <row r="6" spans="1:20" ht="79.5" customHeight="1">
      <c r="A6" s="173"/>
      <c r="B6" s="173"/>
      <c r="C6" s="161"/>
      <c r="D6" s="161"/>
      <c r="E6" s="2" t="s">
        <v>11</v>
      </c>
      <c r="F6" s="2" t="s">
        <v>8</v>
      </c>
      <c r="G6" s="2" t="s">
        <v>11</v>
      </c>
      <c r="H6" s="30" t="s">
        <v>8</v>
      </c>
      <c r="I6" s="161"/>
      <c r="J6" s="3" t="s">
        <v>17</v>
      </c>
      <c r="K6" s="3" t="s">
        <v>222</v>
      </c>
      <c r="L6" s="4" t="s">
        <v>13</v>
      </c>
      <c r="M6" s="3" t="s">
        <v>18</v>
      </c>
      <c r="N6" s="3" t="s">
        <v>19</v>
      </c>
      <c r="O6" s="57" t="s">
        <v>13</v>
      </c>
      <c r="P6" s="160"/>
      <c r="Q6" s="161"/>
      <c r="R6" s="161"/>
      <c r="S6" s="161"/>
      <c r="T6" s="161"/>
    </row>
    <row r="7" spans="1:20" ht="18.75" customHeight="1">
      <c r="A7" s="54" t="s">
        <v>34</v>
      </c>
      <c r="B7" s="54" t="s">
        <v>35</v>
      </c>
      <c r="C7" s="54" t="s">
        <v>36</v>
      </c>
      <c r="D7" s="54" t="s">
        <v>37</v>
      </c>
      <c r="E7" s="54" t="s">
        <v>38</v>
      </c>
      <c r="F7" s="54" t="s">
        <v>39</v>
      </c>
      <c r="G7" s="54" t="s">
        <v>40</v>
      </c>
      <c r="H7" s="54" t="s">
        <v>41</v>
      </c>
      <c r="I7" s="54" t="s">
        <v>42</v>
      </c>
      <c r="J7" s="55" t="s">
        <v>43</v>
      </c>
      <c r="K7" s="55" t="s">
        <v>44</v>
      </c>
      <c r="L7" s="55" t="s">
        <v>45</v>
      </c>
      <c r="M7" s="55" t="s">
        <v>46</v>
      </c>
      <c r="N7" s="55" t="s">
        <v>47</v>
      </c>
      <c r="O7" s="55" t="s">
        <v>48</v>
      </c>
      <c r="P7" s="55" t="s">
        <v>15</v>
      </c>
      <c r="Q7" s="54" t="s">
        <v>49</v>
      </c>
      <c r="R7" s="54" t="s">
        <v>50</v>
      </c>
      <c r="S7" s="54" t="s">
        <v>51</v>
      </c>
      <c r="T7" s="54" t="s">
        <v>52</v>
      </c>
    </row>
    <row r="8" spans="1:20" ht="15.75">
      <c r="A8" s="16"/>
      <c r="B8" s="17" t="s">
        <v>0</v>
      </c>
      <c r="C8" s="41">
        <f aca="true" t="shared" si="0" ref="C8:H8">SUM(C9:C24)</f>
        <v>32.089999999999996</v>
      </c>
      <c r="D8" s="42">
        <f t="shared" si="0"/>
        <v>44605100</v>
      </c>
      <c r="E8" s="64">
        <f t="shared" si="0"/>
        <v>0</v>
      </c>
      <c r="F8" s="42">
        <f t="shared" si="0"/>
        <v>0</v>
      </c>
      <c r="G8" s="15">
        <f t="shared" si="0"/>
        <v>0.65</v>
      </c>
      <c r="H8" s="9">
        <f t="shared" si="0"/>
        <v>903500</v>
      </c>
      <c r="I8" s="9"/>
      <c r="J8" s="42">
        <f aca="true" t="shared" si="1" ref="J8:O8">SUM(J9:J24)</f>
        <v>1365258</v>
      </c>
      <c r="K8" s="42">
        <f t="shared" si="1"/>
        <v>7964005</v>
      </c>
      <c r="L8" s="42">
        <f t="shared" si="1"/>
        <v>9329263</v>
      </c>
      <c r="M8" s="42">
        <f t="shared" si="1"/>
        <v>682629</v>
      </c>
      <c r="N8" s="42">
        <f t="shared" si="1"/>
        <v>3640688</v>
      </c>
      <c r="O8" s="42">
        <f t="shared" si="1"/>
        <v>4323317</v>
      </c>
      <c r="P8" s="42"/>
      <c r="Q8" s="42"/>
      <c r="R8" s="42"/>
      <c r="S8" s="43"/>
      <c r="T8" s="16"/>
    </row>
    <row r="9" spans="1:20" ht="15.75">
      <c r="A9" s="21" t="s">
        <v>34</v>
      </c>
      <c r="B9" s="1" t="s">
        <v>108</v>
      </c>
      <c r="C9" s="22">
        <v>2.46</v>
      </c>
      <c r="D9" s="44">
        <f>C9*I9</f>
        <v>3419400</v>
      </c>
      <c r="E9" s="78"/>
      <c r="F9" s="45">
        <f>E9*I9</f>
        <v>0</v>
      </c>
      <c r="G9" s="22">
        <v>0.25</v>
      </c>
      <c r="H9" s="45">
        <f>G9*I9</f>
        <v>347500</v>
      </c>
      <c r="I9" s="45">
        <v>1390000</v>
      </c>
      <c r="J9" s="44">
        <f aca="true" t="shared" si="2" ref="J9:J22">(D9+F9+H9)*3%</f>
        <v>113007</v>
      </c>
      <c r="K9" s="44">
        <f>(D9+F9+H9)*17.5%</f>
        <v>659207.5</v>
      </c>
      <c r="L9" s="44">
        <f aca="true" t="shared" si="3" ref="L9:L22">J9+K9</f>
        <v>772214.5</v>
      </c>
      <c r="M9" s="44">
        <f aca="true" t="shared" si="4" ref="M9:M22">(D9+F9+H9)*1.5%</f>
        <v>56503.5</v>
      </c>
      <c r="N9" s="44">
        <f aca="true" t="shared" si="5" ref="N9:N22">(D9+F9+H9)*8%</f>
        <v>301352</v>
      </c>
      <c r="O9" s="44">
        <f aca="true" t="shared" si="6" ref="O9:O22">M9+N9</f>
        <v>357855.5</v>
      </c>
      <c r="P9" s="44"/>
      <c r="Q9" s="44"/>
      <c r="R9" s="44"/>
      <c r="S9" s="16"/>
      <c r="T9" s="16"/>
    </row>
    <row r="10" spans="1:20" ht="15.75">
      <c r="A10" s="21" t="s">
        <v>35</v>
      </c>
      <c r="B10" s="18" t="s">
        <v>109</v>
      </c>
      <c r="C10" s="22">
        <v>2.46</v>
      </c>
      <c r="D10" s="44">
        <f aca="true" t="shared" si="7" ref="D10:D22">C10*I10</f>
        <v>3419400</v>
      </c>
      <c r="E10" s="12"/>
      <c r="F10" s="45">
        <f aca="true" t="shared" si="8" ref="F10:F22">(E10*1150000)</f>
        <v>0</v>
      </c>
      <c r="G10" s="22">
        <v>0.2</v>
      </c>
      <c r="H10" s="45">
        <f>G10*I10</f>
        <v>278000</v>
      </c>
      <c r="I10" s="45">
        <v>1390000</v>
      </c>
      <c r="J10" s="44">
        <f t="shared" si="2"/>
        <v>110922</v>
      </c>
      <c r="K10" s="44">
        <f aca="true" t="shared" si="9" ref="K10:K22">(D10+F10+H10)*17.5%</f>
        <v>647045</v>
      </c>
      <c r="L10" s="44">
        <f t="shared" si="3"/>
        <v>757967</v>
      </c>
      <c r="M10" s="44">
        <f t="shared" si="4"/>
        <v>55461</v>
      </c>
      <c r="N10" s="44">
        <f t="shared" si="5"/>
        <v>295792</v>
      </c>
      <c r="O10" s="44">
        <f t="shared" si="6"/>
        <v>351253</v>
      </c>
      <c r="P10" s="44"/>
      <c r="Q10" s="44"/>
      <c r="R10" s="44"/>
      <c r="S10" s="18"/>
      <c r="T10" s="18"/>
    </row>
    <row r="11" spans="1:20" ht="15.75">
      <c r="A11" s="21"/>
      <c r="B11" s="18"/>
      <c r="C11" s="22"/>
      <c r="D11" s="44"/>
      <c r="E11" s="22"/>
      <c r="F11" s="45">
        <f t="shared" si="8"/>
        <v>0</v>
      </c>
      <c r="G11" s="22"/>
      <c r="H11" s="45"/>
      <c r="I11" s="45"/>
      <c r="J11" s="44">
        <f t="shared" si="2"/>
        <v>0</v>
      </c>
      <c r="K11" s="44">
        <f t="shared" si="9"/>
        <v>0</v>
      </c>
      <c r="L11" s="44">
        <f t="shared" si="3"/>
        <v>0</v>
      </c>
      <c r="M11" s="44">
        <f t="shared" si="4"/>
        <v>0</v>
      </c>
      <c r="N11" s="44">
        <f t="shared" si="5"/>
        <v>0</v>
      </c>
      <c r="O11" s="44">
        <f t="shared" si="6"/>
        <v>0</v>
      </c>
      <c r="P11" s="44"/>
      <c r="Q11" s="44"/>
      <c r="R11" s="44"/>
      <c r="S11" s="18"/>
      <c r="T11" s="18"/>
    </row>
    <row r="12" spans="1:20" ht="15.75">
      <c r="A12" s="21">
        <v>3</v>
      </c>
      <c r="B12" s="18" t="s">
        <v>111</v>
      </c>
      <c r="C12" s="22">
        <v>2.34</v>
      </c>
      <c r="D12" s="44">
        <f t="shared" si="7"/>
        <v>3252600</v>
      </c>
      <c r="E12" s="12"/>
      <c r="F12" s="45">
        <f t="shared" si="8"/>
        <v>0</v>
      </c>
      <c r="G12" s="22">
        <v>0.2</v>
      </c>
      <c r="H12" s="45">
        <f>G12*I12</f>
        <v>278000</v>
      </c>
      <c r="I12" s="45">
        <v>1390000</v>
      </c>
      <c r="J12" s="44">
        <f t="shared" si="2"/>
        <v>105918</v>
      </c>
      <c r="K12" s="44">
        <f t="shared" si="9"/>
        <v>617855</v>
      </c>
      <c r="L12" s="44">
        <f t="shared" si="3"/>
        <v>723773</v>
      </c>
      <c r="M12" s="44">
        <f t="shared" si="4"/>
        <v>52959</v>
      </c>
      <c r="N12" s="44">
        <f t="shared" si="5"/>
        <v>282448</v>
      </c>
      <c r="O12" s="44">
        <f t="shared" si="6"/>
        <v>335407</v>
      </c>
      <c r="P12" s="44"/>
      <c r="Q12" s="44"/>
      <c r="R12" s="44"/>
      <c r="S12" s="18"/>
      <c r="T12" s="18"/>
    </row>
    <row r="13" spans="1:20" ht="15.75">
      <c r="A13" s="21">
        <v>4</v>
      </c>
      <c r="B13" s="18" t="s">
        <v>112</v>
      </c>
      <c r="C13" s="22">
        <v>3</v>
      </c>
      <c r="D13" s="44">
        <f t="shared" si="7"/>
        <v>4170000</v>
      </c>
      <c r="E13" s="12"/>
      <c r="F13" s="45">
        <f t="shared" si="8"/>
        <v>0</v>
      </c>
      <c r="G13" s="22"/>
      <c r="H13" s="45">
        <f>G13*I13</f>
        <v>0</v>
      </c>
      <c r="I13" s="45">
        <v>1390000</v>
      </c>
      <c r="J13" s="44">
        <f t="shared" si="2"/>
        <v>125100</v>
      </c>
      <c r="K13" s="44">
        <f t="shared" si="9"/>
        <v>729750</v>
      </c>
      <c r="L13" s="44">
        <f t="shared" si="3"/>
        <v>854850</v>
      </c>
      <c r="M13" s="44">
        <f t="shared" si="4"/>
        <v>62550</v>
      </c>
      <c r="N13" s="44">
        <f t="shared" si="5"/>
        <v>333600</v>
      </c>
      <c r="O13" s="44">
        <f t="shared" si="6"/>
        <v>396150</v>
      </c>
      <c r="P13" s="44"/>
      <c r="Q13" s="44"/>
      <c r="R13" s="44"/>
      <c r="S13" s="18"/>
      <c r="T13" s="18"/>
    </row>
    <row r="14" spans="1:20" s="105" customFormat="1" ht="15.75">
      <c r="A14" s="100">
        <v>5</v>
      </c>
      <c r="B14" s="101" t="s">
        <v>113</v>
      </c>
      <c r="C14" s="102">
        <v>2.26</v>
      </c>
      <c r="D14" s="103">
        <f t="shared" si="7"/>
        <v>3141399.9999999995</v>
      </c>
      <c r="E14" s="106"/>
      <c r="F14" s="104">
        <f t="shared" si="8"/>
        <v>0</v>
      </c>
      <c r="G14" s="102"/>
      <c r="H14" s="104">
        <f aca="true" t="shared" si="10" ref="H14:H22">(G14*1150000)</f>
        <v>0</v>
      </c>
      <c r="I14" s="104">
        <v>1390000</v>
      </c>
      <c r="J14" s="103">
        <f t="shared" si="2"/>
        <v>94241.99999999999</v>
      </c>
      <c r="K14" s="44">
        <f t="shared" si="9"/>
        <v>549744.9999999999</v>
      </c>
      <c r="L14" s="103">
        <f t="shared" si="3"/>
        <v>643986.9999999999</v>
      </c>
      <c r="M14" s="103">
        <f t="shared" si="4"/>
        <v>47120.99999999999</v>
      </c>
      <c r="N14" s="103">
        <f t="shared" si="5"/>
        <v>251311.99999999997</v>
      </c>
      <c r="O14" s="103">
        <f t="shared" si="6"/>
        <v>298432.99999999994</v>
      </c>
      <c r="P14" s="103"/>
      <c r="Q14" s="103"/>
      <c r="R14" s="103"/>
      <c r="S14" s="101"/>
      <c r="T14" s="101"/>
    </row>
    <row r="15" spans="1:20" ht="15.75">
      <c r="A15" s="21">
        <v>6</v>
      </c>
      <c r="B15" s="18" t="s">
        <v>114</v>
      </c>
      <c r="C15" s="22">
        <v>2.86</v>
      </c>
      <c r="D15" s="44">
        <f t="shared" si="7"/>
        <v>3975400</v>
      </c>
      <c r="E15" s="12"/>
      <c r="F15" s="45">
        <f t="shared" si="8"/>
        <v>0</v>
      </c>
      <c r="G15" s="22"/>
      <c r="H15" s="45">
        <f t="shared" si="10"/>
        <v>0</v>
      </c>
      <c r="I15" s="45">
        <v>1390000</v>
      </c>
      <c r="J15" s="44">
        <f t="shared" si="2"/>
        <v>119262</v>
      </c>
      <c r="K15" s="44">
        <f t="shared" si="9"/>
        <v>695695</v>
      </c>
      <c r="L15" s="44">
        <f t="shared" si="3"/>
        <v>814957</v>
      </c>
      <c r="M15" s="44">
        <f t="shared" si="4"/>
        <v>59631</v>
      </c>
      <c r="N15" s="44">
        <f t="shared" si="5"/>
        <v>318032</v>
      </c>
      <c r="O15" s="44">
        <f t="shared" si="6"/>
        <v>377663</v>
      </c>
      <c r="P15" s="44"/>
      <c r="Q15" s="44"/>
      <c r="R15" s="44"/>
      <c r="S15" s="18"/>
      <c r="T15" s="18"/>
    </row>
    <row r="16" spans="1:20" ht="15.75">
      <c r="A16" s="21">
        <v>7</v>
      </c>
      <c r="B16" s="18" t="s">
        <v>115</v>
      </c>
      <c r="C16" s="22">
        <v>2.46</v>
      </c>
      <c r="D16" s="44">
        <f t="shared" si="7"/>
        <v>3419400</v>
      </c>
      <c r="E16" s="12"/>
      <c r="F16" s="45">
        <f t="shared" si="8"/>
        <v>0</v>
      </c>
      <c r="G16" s="22"/>
      <c r="H16" s="45">
        <f t="shared" si="10"/>
        <v>0</v>
      </c>
      <c r="I16" s="45">
        <v>1390000</v>
      </c>
      <c r="J16" s="44">
        <f t="shared" si="2"/>
        <v>102582</v>
      </c>
      <c r="K16" s="44">
        <f t="shared" si="9"/>
        <v>598395</v>
      </c>
      <c r="L16" s="44">
        <f t="shared" si="3"/>
        <v>700977</v>
      </c>
      <c r="M16" s="44">
        <f t="shared" si="4"/>
        <v>51291</v>
      </c>
      <c r="N16" s="44">
        <f t="shared" si="5"/>
        <v>273552</v>
      </c>
      <c r="O16" s="44">
        <f t="shared" si="6"/>
        <v>324843</v>
      </c>
      <c r="P16" s="44"/>
      <c r="Q16" s="44"/>
      <c r="R16" s="44"/>
      <c r="S16" s="18"/>
      <c r="T16" s="18"/>
    </row>
    <row r="17" spans="1:20" ht="15.75">
      <c r="A17" s="21">
        <v>8</v>
      </c>
      <c r="B17" s="18" t="s">
        <v>147</v>
      </c>
      <c r="C17" s="22">
        <v>2.34</v>
      </c>
      <c r="D17" s="44">
        <f t="shared" si="7"/>
        <v>3252600</v>
      </c>
      <c r="E17" s="12"/>
      <c r="F17" s="45">
        <f t="shared" si="8"/>
        <v>0</v>
      </c>
      <c r="G17" s="22"/>
      <c r="H17" s="45">
        <f t="shared" si="10"/>
        <v>0</v>
      </c>
      <c r="I17" s="45">
        <v>1390000</v>
      </c>
      <c r="J17" s="44">
        <f t="shared" si="2"/>
        <v>97578</v>
      </c>
      <c r="K17" s="44">
        <f t="shared" si="9"/>
        <v>569205</v>
      </c>
      <c r="L17" s="44">
        <f t="shared" si="3"/>
        <v>666783</v>
      </c>
      <c r="M17" s="44">
        <f t="shared" si="4"/>
        <v>48789</v>
      </c>
      <c r="N17" s="44">
        <f t="shared" si="5"/>
        <v>260208</v>
      </c>
      <c r="O17" s="44">
        <f t="shared" si="6"/>
        <v>308997</v>
      </c>
      <c r="P17" s="44"/>
      <c r="Q17" s="44"/>
      <c r="R17" s="44"/>
      <c r="S17" s="18"/>
      <c r="T17" s="18"/>
    </row>
    <row r="18" spans="1:20" ht="15.75">
      <c r="A18" s="21">
        <v>9</v>
      </c>
      <c r="B18" s="18" t="s">
        <v>116</v>
      </c>
      <c r="C18" s="22">
        <v>2.26</v>
      </c>
      <c r="D18" s="44">
        <f t="shared" si="7"/>
        <v>3141399.9999999995</v>
      </c>
      <c r="E18" s="12"/>
      <c r="F18" s="45">
        <f t="shared" si="8"/>
        <v>0</v>
      </c>
      <c r="G18" s="22"/>
      <c r="H18" s="45">
        <f t="shared" si="10"/>
        <v>0</v>
      </c>
      <c r="I18" s="45">
        <v>1390000</v>
      </c>
      <c r="J18" s="44">
        <f t="shared" si="2"/>
        <v>94241.99999999999</v>
      </c>
      <c r="K18" s="44">
        <f t="shared" si="9"/>
        <v>549744.9999999999</v>
      </c>
      <c r="L18" s="44">
        <f t="shared" si="3"/>
        <v>643986.9999999999</v>
      </c>
      <c r="M18" s="44">
        <f t="shared" si="4"/>
        <v>47120.99999999999</v>
      </c>
      <c r="N18" s="44">
        <f t="shared" si="5"/>
        <v>251311.99999999997</v>
      </c>
      <c r="O18" s="44">
        <f t="shared" si="6"/>
        <v>298432.99999999994</v>
      </c>
      <c r="P18" s="44"/>
      <c r="Q18" s="44"/>
      <c r="R18" s="44"/>
      <c r="S18" s="18"/>
      <c r="T18" s="18"/>
    </row>
    <row r="19" spans="1:20" ht="15.75">
      <c r="A19" s="21">
        <v>10</v>
      </c>
      <c r="B19" s="18" t="s">
        <v>117</v>
      </c>
      <c r="C19" s="22">
        <v>2.46</v>
      </c>
      <c r="D19" s="44">
        <f t="shared" si="7"/>
        <v>3419400</v>
      </c>
      <c r="E19" s="12"/>
      <c r="F19" s="45">
        <f t="shared" si="8"/>
        <v>0</v>
      </c>
      <c r="G19" s="22"/>
      <c r="H19" s="45">
        <f t="shared" si="10"/>
        <v>0</v>
      </c>
      <c r="I19" s="45">
        <v>1390000</v>
      </c>
      <c r="J19" s="44">
        <f t="shared" si="2"/>
        <v>102582</v>
      </c>
      <c r="K19" s="44">
        <f t="shared" si="9"/>
        <v>598395</v>
      </c>
      <c r="L19" s="44">
        <f t="shared" si="3"/>
        <v>700977</v>
      </c>
      <c r="M19" s="44">
        <f t="shared" si="4"/>
        <v>51291</v>
      </c>
      <c r="N19" s="44">
        <f t="shared" si="5"/>
        <v>273552</v>
      </c>
      <c r="O19" s="44">
        <f t="shared" si="6"/>
        <v>324843</v>
      </c>
      <c r="P19" s="44"/>
      <c r="Q19" s="44"/>
      <c r="R19" s="44"/>
      <c r="S19" s="18"/>
      <c r="T19" s="18"/>
    </row>
    <row r="20" spans="1:20" ht="15.75">
      <c r="A20" s="21">
        <v>11</v>
      </c>
      <c r="B20" s="18" t="s">
        <v>118</v>
      </c>
      <c r="C20" s="22">
        <v>2.46</v>
      </c>
      <c r="D20" s="44">
        <f t="shared" si="7"/>
        <v>3419400</v>
      </c>
      <c r="E20" s="12"/>
      <c r="F20" s="45">
        <f t="shared" si="8"/>
        <v>0</v>
      </c>
      <c r="G20" s="22"/>
      <c r="H20" s="45">
        <f t="shared" si="10"/>
        <v>0</v>
      </c>
      <c r="I20" s="45">
        <v>1390000</v>
      </c>
      <c r="J20" s="44">
        <f t="shared" si="2"/>
        <v>102582</v>
      </c>
      <c r="K20" s="44">
        <f t="shared" si="9"/>
        <v>598395</v>
      </c>
      <c r="L20" s="44">
        <f t="shared" si="3"/>
        <v>700977</v>
      </c>
      <c r="M20" s="44">
        <f t="shared" si="4"/>
        <v>51291</v>
      </c>
      <c r="N20" s="44">
        <f t="shared" si="5"/>
        <v>273552</v>
      </c>
      <c r="O20" s="44">
        <f t="shared" si="6"/>
        <v>324843</v>
      </c>
      <c r="P20" s="44"/>
      <c r="Q20" s="44"/>
      <c r="R20" s="44"/>
      <c r="S20" s="18"/>
      <c r="T20" s="18"/>
    </row>
    <row r="21" spans="1:20" ht="15.75">
      <c r="A21" s="21">
        <v>12</v>
      </c>
      <c r="B21" s="18" t="s">
        <v>119</v>
      </c>
      <c r="C21" s="22">
        <v>2.06</v>
      </c>
      <c r="D21" s="44">
        <f t="shared" si="7"/>
        <v>2863400</v>
      </c>
      <c r="E21" s="12"/>
      <c r="F21" s="45">
        <f t="shared" si="8"/>
        <v>0</v>
      </c>
      <c r="G21" s="22"/>
      <c r="H21" s="45">
        <f t="shared" si="10"/>
        <v>0</v>
      </c>
      <c r="I21" s="45">
        <v>1390000</v>
      </c>
      <c r="J21" s="44">
        <f t="shared" si="2"/>
        <v>85902</v>
      </c>
      <c r="K21" s="44">
        <f t="shared" si="9"/>
        <v>501094.99999999994</v>
      </c>
      <c r="L21" s="44">
        <f t="shared" si="3"/>
        <v>586997</v>
      </c>
      <c r="M21" s="44">
        <f t="shared" si="4"/>
        <v>42951</v>
      </c>
      <c r="N21" s="44">
        <f t="shared" si="5"/>
        <v>229072</v>
      </c>
      <c r="O21" s="44">
        <f t="shared" si="6"/>
        <v>272023</v>
      </c>
      <c r="P21" s="44"/>
      <c r="Q21" s="44"/>
      <c r="R21" s="44"/>
      <c r="S21" s="18"/>
      <c r="T21" s="18"/>
    </row>
    <row r="22" spans="1:20" ht="15.75">
      <c r="A22" s="21">
        <v>13</v>
      </c>
      <c r="B22" s="18" t="s">
        <v>120</v>
      </c>
      <c r="C22" s="22">
        <v>2.67</v>
      </c>
      <c r="D22" s="44">
        <f t="shared" si="7"/>
        <v>3711300</v>
      </c>
      <c r="E22" s="12"/>
      <c r="F22" s="45">
        <f t="shared" si="8"/>
        <v>0</v>
      </c>
      <c r="G22" s="22"/>
      <c r="H22" s="45">
        <f t="shared" si="10"/>
        <v>0</v>
      </c>
      <c r="I22" s="45">
        <v>1390000</v>
      </c>
      <c r="J22" s="44">
        <f t="shared" si="2"/>
        <v>111339</v>
      </c>
      <c r="K22" s="44">
        <f t="shared" si="9"/>
        <v>649477.5</v>
      </c>
      <c r="L22" s="44">
        <f t="shared" si="3"/>
        <v>760816.5</v>
      </c>
      <c r="M22" s="44">
        <f t="shared" si="4"/>
        <v>55669.5</v>
      </c>
      <c r="N22" s="44">
        <f t="shared" si="5"/>
        <v>296904</v>
      </c>
      <c r="O22" s="44">
        <f t="shared" si="6"/>
        <v>352573.5</v>
      </c>
      <c r="P22" s="44"/>
      <c r="Q22" s="44"/>
      <c r="R22" s="44"/>
      <c r="S22" s="18"/>
      <c r="T22" s="18"/>
    </row>
    <row r="23" spans="1:20" ht="15.75">
      <c r="A23" s="21"/>
      <c r="B23" s="18"/>
      <c r="C23" s="22"/>
      <c r="D23" s="44"/>
      <c r="E23" s="12"/>
      <c r="F23" s="45"/>
      <c r="G23" s="22"/>
      <c r="H23" s="45"/>
      <c r="I23" s="45"/>
      <c r="J23" s="44"/>
      <c r="K23" s="44"/>
      <c r="L23" s="44"/>
      <c r="M23" s="44"/>
      <c r="N23" s="44"/>
      <c r="O23" s="44"/>
      <c r="P23" s="44"/>
      <c r="Q23" s="44"/>
      <c r="R23" s="44"/>
      <c r="S23" s="18"/>
      <c r="T23" s="18"/>
    </row>
    <row r="24" spans="1:20" ht="15.75">
      <c r="A24" s="21"/>
      <c r="B24" s="18"/>
      <c r="C24" s="22"/>
      <c r="D24" s="44"/>
      <c r="E24" s="12"/>
      <c r="F24" s="45"/>
      <c r="G24" s="22"/>
      <c r="H24" s="45"/>
      <c r="I24" s="45"/>
      <c r="J24" s="44"/>
      <c r="K24" s="44"/>
      <c r="L24" s="44"/>
      <c r="M24" s="44"/>
      <c r="N24" s="44"/>
      <c r="O24" s="44"/>
      <c r="P24" s="44"/>
      <c r="Q24" s="44"/>
      <c r="R24" s="44"/>
      <c r="S24" s="18"/>
      <c r="T24" s="18"/>
    </row>
    <row r="25" spans="1:20" ht="20.25" customHeight="1">
      <c r="A25" s="16"/>
      <c r="B25" s="19" t="s">
        <v>1</v>
      </c>
      <c r="C25" s="20">
        <v>1.86</v>
      </c>
      <c r="D25" s="46">
        <f>D26</f>
        <v>2139000</v>
      </c>
      <c r="E25" s="9">
        <f>E26</f>
        <v>0</v>
      </c>
      <c r="F25" s="9">
        <f>F26</f>
        <v>0</v>
      </c>
      <c r="G25" s="9">
        <f>G26</f>
        <v>0</v>
      </c>
      <c r="H25" s="46"/>
      <c r="I25" s="45">
        <v>1390000</v>
      </c>
      <c r="J25" s="46">
        <f aca="true" t="shared" si="11" ref="J25:O25">J26</f>
        <v>64170</v>
      </c>
      <c r="K25" s="46">
        <f t="shared" si="11"/>
        <v>374325</v>
      </c>
      <c r="L25" s="46">
        <f t="shared" si="11"/>
        <v>438495</v>
      </c>
      <c r="M25" s="46">
        <f t="shared" si="11"/>
        <v>32085</v>
      </c>
      <c r="N25" s="46">
        <f t="shared" si="11"/>
        <v>171120</v>
      </c>
      <c r="O25" s="46">
        <f t="shared" si="11"/>
        <v>203205</v>
      </c>
      <c r="P25" s="46"/>
      <c r="Q25" s="46"/>
      <c r="R25" s="46"/>
      <c r="S25" s="23"/>
      <c r="T25" s="23"/>
    </row>
    <row r="26" spans="1:20" ht="20.25" customHeight="1">
      <c r="A26" s="21">
        <v>14</v>
      </c>
      <c r="B26" s="1" t="s">
        <v>143</v>
      </c>
      <c r="C26" s="22">
        <v>1.86</v>
      </c>
      <c r="D26" s="44">
        <f>(C26*1150000)</f>
        <v>2139000</v>
      </c>
      <c r="E26" s="10"/>
      <c r="F26" s="9"/>
      <c r="G26" s="10"/>
      <c r="H26" s="46"/>
      <c r="I26" s="45">
        <v>1390000</v>
      </c>
      <c r="J26" s="44">
        <f>(D26+F26+H26)*3%</f>
        <v>64170</v>
      </c>
      <c r="K26" s="44">
        <f>(D26+F26+H26)*17.5%</f>
        <v>374325</v>
      </c>
      <c r="L26" s="44">
        <f>J26+K26</f>
        <v>438495</v>
      </c>
      <c r="M26" s="44">
        <f>(D26+F26+H26)*1.5%</f>
        <v>32085</v>
      </c>
      <c r="N26" s="44">
        <f>(D26+F26+H26)*8%</f>
        <v>171120</v>
      </c>
      <c r="O26" s="44">
        <f>M26+N26</f>
        <v>203205</v>
      </c>
      <c r="P26" s="44"/>
      <c r="Q26" s="44"/>
      <c r="R26" s="44"/>
      <c r="S26" s="23"/>
      <c r="T26" s="23"/>
    </row>
    <row r="27" spans="1:20" ht="20.25" customHeight="1">
      <c r="A27" s="16"/>
      <c r="B27" s="23" t="s">
        <v>25</v>
      </c>
      <c r="C27" s="24">
        <f>C28</f>
        <v>2.06</v>
      </c>
      <c r="D27" s="46">
        <f>D28</f>
        <v>2863400</v>
      </c>
      <c r="E27" s="11">
        <f>E28</f>
        <v>0</v>
      </c>
      <c r="F27" s="9"/>
      <c r="G27" s="11">
        <f>G28</f>
        <v>0</v>
      </c>
      <c r="H27" s="13">
        <f>H28</f>
        <v>0</v>
      </c>
      <c r="I27" s="45">
        <v>1390000</v>
      </c>
      <c r="J27" s="46">
        <f aca="true" t="shared" si="12" ref="J27:O27">J28</f>
        <v>85902</v>
      </c>
      <c r="K27" s="46">
        <f t="shared" si="12"/>
        <v>501094.99999999994</v>
      </c>
      <c r="L27" s="46">
        <f t="shared" si="12"/>
        <v>586997</v>
      </c>
      <c r="M27" s="46">
        <f t="shared" si="12"/>
        <v>42951</v>
      </c>
      <c r="N27" s="46">
        <f t="shared" si="12"/>
        <v>229072</v>
      </c>
      <c r="O27" s="46">
        <f t="shared" si="12"/>
        <v>272023</v>
      </c>
      <c r="P27" s="46"/>
      <c r="Q27" s="46"/>
      <c r="R27" s="46"/>
      <c r="S27" s="23"/>
      <c r="T27" s="23"/>
    </row>
    <row r="28" spans="1:20" ht="20.25" customHeight="1">
      <c r="A28" s="16">
        <v>15</v>
      </c>
      <c r="B28" s="18" t="s">
        <v>121</v>
      </c>
      <c r="C28" s="22">
        <v>2.06</v>
      </c>
      <c r="D28" s="44">
        <f>C28*I28</f>
        <v>2863400</v>
      </c>
      <c r="E28" s="12"/>
      <c r="F28" s="9"/>
      <c r="G28" s="22"/>
      <c r="H28" s="45"/>
      <c r="I28" s="45">
        <v>1390000</v>
      </c>
      <c r="J28" s="44">
        <f>(D28+F28+H28)*3%</f>
        <v>85902</v>
      </c>
      <c r="K28" s="44">
        <f>(D28+F28+H28)*17.5%</f>
        <v>501094.99999999994</v>
      </c>
      <c r="L28" s="44">
        <f>J28+K28</f>
        <v>586997</v>
      </c>
      <c r="M28" s="44">
        <f>(D28+F28+H28)*1.5%</f>
        <v>42951</v>
      </c>
      <c r="N28" s="44">
        <f>(D28+F28+H28)*8%</f>
        <v>229072</v>
      </c>
      <c r="O28" s="44">
        <f>M28+N28</f>
        <v>272023</v>
      </c>
      <c r="P28" s="44"/>
      <c r="Q28" s="44"/>
      <c r="R28" s="44"/>
      <c r="S28" s="23"/>
      <c r="T28" s="23"/>
    </row>
    <row r="29" spans="1:20" ht="20.25" customHeight="1">
      <c r="A29" s="16"/>
      <c r="B29" s="23" t="s">
        <v>3</v>
      </c>
      <c r="C29" s="24">
        <f>C30</f>
        <v>2.06</v>
      </c>
      <c r="D29" s="46">
        <f>D30</f>
        <v>2863400</v>
      </c>
      <c r="E29" s="11">
        <f>E30</f>
        <v>0</v>
      </c>
      <c r="F29" s="9"/>
      <c r="G29" s="11">
        <f>G30</f>
        <v>0.15</v>
      </c>
      <c r="H29" s="13">
        <f>H30</f>
        <v>172500</v>
      </c>
      <c r="I29" s="45">
        <v>1390000</v>
      </c>
      <c r="J29" s="46">
        <f aca="true" t="shared" si="13" ref="J29:O29">J30</f>
        <v>91077</v>
      </c>
      <c r="K29" s="46">
        <f t="shared" si="13"/>
        <v>531282.5</v>
      </c>
      <c r="L29" s="46">
        <f t="shared" si="13"/>
        <v>622359.5</v>
      </c>
      <c r="M29" s="46">
        <f t="shared" si="13"/>
        <v>45538.5</v>
      </c>
      <c r="N29" s="46">
        <f t="shared" si="13"/>
        <v>242872</v>
      </c>
      <c r="O29" s="46">
        <f t="shared" si="13"/>
        <v>288410.5</v>
      </c>
      <c r="P29" s="46"/>
      <c r="Q29" s="46"/>
      <c r="R29" s="46"/>
      <c r="S29" s="23"/>
      <c r="T29" s="23"/>
    </row>
    <row r="30" spans="1:20" ht="20.25" customHeight="1">
      <c r="A30" s="16">
        <v>16</v>
      </c>
      <c r="B30" s="18" t="s">
        <v>144</v>
      </c>
      <c r="C30" s="22">
        <v>2.06</v>
      </c>
      <c r="D30" s="44">
        <f>C30*I30</f>
        <v>2863400</v>
      </c>
      <c r="E30" s="12"/>
      <c r="F30" s="9"/>
      <c r="G30" s="22">
        <v>0.15</v>
      </c>
      <c r="H30" s="45">
        <f>(G30*1150000)</f>
        <v>172500</v>
      </c>
      <c r="I30" s="45">
        <v>1390000</v>
      </c>
      <c r="J30" s="44">
        <f>(D30+F30+H30)*3%</f>
        <v>91077</v>
      </c>
      <c r="K30" s="44">
        <f>(D30+F30+H30)*17.5%</f>
        <v>531282.5</v>
      </c>
      <c r="L30" s="44">
        <f>J30+K30</f>
        <v>622359.5</v>
      </c>
      <c r="M30" s="44">
        <f>(D30+F30+H30)*1.5%</f>
        <v>45538.5</v>
      </c>
      <c r="N30" s="44">
        <f>(D30+F30+H30)*8%</f>
        <v>242872</v>
      </c>
      <c r="O30" s="44">
        <f>M30+N30</f>
        <v>288410.5</v>
      </c>
      <c r="P30" s="44"/>
      <c r="Q30" s="44"/>
      <c r="R30" s="44"/>
      <c r="S30" s="23"/>
      <c r="T30" s="23"/>
    </row>
    <row r="31" spans="1:20" ht="15.75">
      <c r="A31" s="16"/>
      <c r="B31" s="23" t="s">
        <v>4</v>
      </c>
      <c r="C31" s="24">
        <f>C32</f>
        <v>2.25</v>
      </c>
      <c r="D31" s="46">
        <f>D32</f>
        <v>3127500</v>
      </c>
      <c r="E31" s="13">
        <f>E32</f>
        <v>0</v>
      </c>
      <c r="F31" s="9"/>
      <c r="G31" s="11">
        <f>G32</f>
        <v>0</v>
      </c>
      <c r="H31" s="13">
        <f>H32</f>
        <v>0</v>
      </c>
      <c r="I31" s="45">
        <v>1390000</v>
      </c>
      <c r="J31" s="46">
        <f aca="true" t="shared" si="14" ref="J31:O31">J32</f>
        <v>93825</v>
      </c>
      <c r="K31" s="46">
        <f t="shared" si="14"/>
        <v>547312.5</v>
      </c>
      <c r="L31" s="46">
        <f t="shared" si="14"/>
        <v>641137.5</v>
      </c>
      <c r="M31" s="46">
        <f t="shared" si="14"/>
        <v>46912.5</v>
      </c>
      <c r="N31" s="46">
        <f t="shared" si="14"/>
        <v>250200</v>
      </c>
      <c r="O31" s="46">
        <f t="shared" si="14"/>
        <v>297112.5</v>
      </c>
      <c r="P31" s="46"/>
      <c r="Q31" s="46"/>
      <c r="R31" s="46"/>
      <c r="S31" s="46"/>
      <c r="T31" s="18"/>
    </row>
    <row r="32" spans="1:20" ht="15.75">
      <c r="A32" s="16">
        <v>17</v>
      </c>
      <c r="B32" s="18" t="s">
        <v>122</v>
      </c>
      <c r="C32" s="22">
        <v>2.25</v>
      </c>
      <c r="D32" s="44">
        <f>C32*I32</f>
        <v>3127500</v>
      </c>
      <c r="E32" s="12"/>
      <c r="F32" s="9"/>
      <c r="G32" s="22"/>
      <c r="H32" s="45">
        <f>(G32*1150000)</f>
        <v>0</v>
      </c>
      <c r="I32" s="45">
        <v>1390000</v>
      </c>
      <c r="J32" s="44">
        <f>(D32+F32+H32)*3%</f>
        <v>93825</v>
      </c>
      <c r="K32" s="44">
        <f>(D32+F32+H32)*17.5%</f>
        <v>547312.5</v>
      </c>
      <c r="L32" s="44">
        <f>J32+K32</f>
        <v>641137.5</v>
      </c>
      <c r="M32" s="44">
        <f>(D32+F32+H32)*1.5%</f>
        <v>46912.5</v>
      </c>
      <c r="N32" s="44">
        <f>(D32+F32+H32)*8%</f>
        <v>250200</v>
      </c>
      <c r="O32" s="44">
        <f>M32+N32</f>
        <v>297112.5</v>
      </c>
      <c r="P32" s="44"/>
      <c r="Q32" s="44"/>
      <c r="R32" s="44"/>
      <c r="S32" s="44"/>
      <c r="T32" s="18"/>
    </row>
    <row r="33" spans="1:20" ht="20.25" customHeight="1">
      <c r="A33" s="16"/>
      <c r="B33" s="23" t="s">
        <v>5</v>
      </c>
      <c r="C33" s="24">
        <f>C34</f>
        <v>1.86</v>
      </c>
      <c r="D33" s="46">
        <f>D34</f>
        <v>2585400</v>
      </c>
      <c r="E33" s="13">
        <f>E34</f>
        <v>0</v>
      </c>
      <c r="F33" s="9"/>
      <c r="G33" s="11">
        <f>G34</f>
        <v>0.15</v>
      </c>
      <c r="H33" s="13">
        <f>H34</f>
        <v>172500</v>
      </c>
      <c r="I33" s="45">
        <v>1390000</v>
      </c>
      <c r="J33" s="42">
        <f aca="true" t="shared" si="15" ref="J33:O33">J34</f>
        <v>82737</v>
      </c>
      <c r="K33" s="42">
        <f t="shared" si="15"/>
        <v>482632.49999999994</v>
      </c>
      <c r="L33" s="42">
        <f t="shared" si="15"/>
        <v>565369.5</v>
      </c>
      <c r="M33" s="42">
        <f t="shared" si="15"/>
        <v>41368.5</v>
      </c>
      <c r="N33" s="42">
        <f t="shared" si="15"/>
        <v>220632</v>
      </c>
      <c r="O33" s="42">
        <f t="shared" si="15"/>
        <v>262000.5</v>
      </c>
      <c r="P33" s="42"/>
      <c r="Q33" s="42"/>
      <c r="R33" s="42"/>
      <c r="S33" s="23"/>
      <c r="T33" s="23"/>
    </row>
    <row r="34" spans="1:20" ht="20.25" customHeight="1">
      <c r="A34" s="16">
        <v>18</v>
      </c>
      <c r="B34" s="18" t="s">
        <v>133</v>
      </c>
      <c r="C34" s="22">
        <v>1.86</v>
      </c>
      <c r="D34" s="44">
        <f>C34*I34</f>
        <v>2585400</v>
      </c>
      <c r="E34" s="10"/>
      <c r="F34" s="9"/>
      <c r="G34" s="22">
        <v>0.15</v>
      </c>
      <c r="H34" s="45">
        <f>(G34*1150000)</f>
        <v>172500</v>
      </c>
      <c r="I34" s="45">
        <v>1390000</v>
      </c>
      <c r="J34" s="44">
        <f>(D34+F34+H34)*3%</f>
        <v>82737</v>
      </c>
      <c r="K34" s="44">
        <f>(D34+F34+H34)*17.5%</f>
        <v>482632.49999999994</v>
      </c>
      <c r="L34" s="44">
        <f>J34+K34</f>
        <v>565369.5</v>
      </c>
      <c r="M34" s="44">
        <f>(D34+F34+H34)*1.5%</f>
        <v>41368.5</v>
      </c>
      <c r="N34" s="44">
        <f>(D34+F34+H34)*8%</f>
        <v>220632</v>
      </c>
      <c r="O34" s="44">
        <f>M34+N34</f>
        <v>262000.5</v>
      </c>
      <c r="P34" s="44"/>
      <c r="Q34" s="44"/>
      <c r="R34" s="44"/>
      <c r="S34" s="23"/>
      <c r="T34" s="23"/>
    </row>
    <row r="35" spans="1:20" ht="20.25" customHeight="1">
      <c r="A35" s="16"/>
      <c r="B35" s="23" t="s">
        <v>6</v>
      </c>
      <c r="C35" s="25">
        <f>C36</f>
        <v>2.25</v>
      </c>
      <c r="D35" s="46">
        <f>D36</f>
        <v>3127500</v>
      </c>
      <c r="E35" s="13">
        <f>E36</f>
        <v>0</v>
      </c>
      <c r="F35" s="9"/>
      <c r="G35" s="13">
        <f>G36</f>
        <v>0</v>
      </c>
      <c r="H35" s="46"/>
      <c r="I35" s="45">
        <v>1390000</v>
      </c>
      <c r="J35" s="46">
        <f aca="true" t="shared" si="16" ref="J35:O35">J36</f>
        <v>93825</v>
      </c>
      <c r="K35" s="46">
        <f t="shared" si="16"/>
        <v>547312.5</v>
      </c>
      <c r="L35" s="46">
        <f t="shared" si="16"/>
        <v>641137.5</v>
      </c>
      <c r="M35" s="46">
        <f t="shared" si="16"/>
        <v>46912.5</v>
      </c>
      <c r="N35" s="46">
        <f t="shared" si="16"/>
        <v>250200</v>
      </c>
      <c r="O35" s="46">
        <f t="shared" si="16"/>
        <v>297112.5</v>
      </c>
      <c r="P35" s="46"/>
      <c r="Q35" s="46"/>
      <c r="R35" s="46"/>
      <c r="S35" s="23"/>
      <c r="T35" s="23"/>
    </row>
    <row r="36" spans="1:20" ht="20.25" customHeight="1">
      <c r="A36" s="16">
        <v>19</v>
      </c>
      <c r="B36" s="18" t="s">
        <v>124</v>
      </c>
      <c r="C36" s="22">
        <v>2.25</v>
      </c>
      <c r="D36" s="44">
        <f>C36*I36</f>
        <v>3127500</v>
      </c>
      <c r="E36" s="10"/>
      <c r="F36" s="9"/>
      <c r="G36" s="10"/>
      <c r="H36" s="46"/>
      <c r="I36" s="45">
        <v>1390000</v>
      </c>
      <c r="J36" s="44">
        <f>(D36+F36+H36)*3%</f>
        <v>93825</v>
      </c>
      <c r="K36" s="44">
        <f>(D36+F36+H36)*17.5%</f>
        <v>547312.5</v>
      </c>
      <c r="L36" s="44">
        <f>J36+K36</f>
        <v>641137.5</v>
      </c>
      <c r="M36" s="44">
        <f>(D36+F36+H36)*1.5%</f>
        <v>46912.5</v>
      </c>
      <c r="N36" s="44">
        <f>(D36+F36+H36)*8%</f>
        <v>250200</v>
      </c>
      <c r="O36" s="44">
        <f>M36+N36</f>
        <v>297112.5</v>
      </c>
      <c r="P36" s="44"/>
      <c r="Q36" s="44"/>
      <c r="R36" s="44"/>
      <c r="S36" s="23"/>
      <c r="T36" s="23"/>
    </row>
    <row r="37" spans="1:20" ht="20.25" customHeight="1">
      <c r="A37" s="16"/>
      <c r="B37" s="23" t="s">
        <v>2</v>
      </c>
      <c r="C37" s="25">
        <f aca="true" t="shared" si="17" ref="C37:H37">C38+C39</f>
        <v>5.52</v>
      </c>
      <c r="D37" s="46">
        <f t="shared" si="17"/>
        <v>7672800</v>
      </c>
      <c r="E37" s="11">
        <f t="shared" si="17"/>
        <v>0</v>
      </c>
      <c r="F37" s="46">
        <f t="shared" si="17"/>
        <v>0</v>
      </c>
      <c r="G37" s="11">
        <f t="shared" si="17"/>
        <v>0.55</v>
      </c>
      <c r="H37" s="13">
        <f t="shared" si="17"/>
        <v>764500</v>
      </c>
      <c r="I37" s="45">
        <v>1390000</v>
      </c>
      <c r="J37" s="46">
        <f aca="true" t="shared" si="18" ref="J37:O37">J38+J39</f>
        <v>253119</v>
      </c>
      <c r="K37" s="46">
        <f t="shared" si="18"/>
        <v>1476527.5</v>
      </c>
      <c r="L37" s="46">
        <f t="shared" si="18"/>
        <v>1729646.5</v>
      </c>
      <c r="M37" s="46">
        <f t="shared" si="18"/>
        <v>126559.5</v>
      </c>
      <c r="N37" s="46">
        <f t="shared" si="18"/>
        <v>674984</v>
      </c>
      <c r="O37" s="46">
        <f t="shared" si="18"/>
        <v>801543.5</v>
      </c>
      <c r="P37" s="46"/>
      <c r="Q37" s="46"/>
      <c r="R37" s="46"/>
      <c r="S37" s="23"/>
      <c r="T37" s="23"/>
    </row>
    <row r="38" spans="1:20" ht="20.25" customHeight="1">
      <c r="A38" s="16">
        <v>20</v>
      </c>
      <c r="B38" s="18" t="s">
        <v>110</v>
      </c>
      <c r="C38" s="22">
        <v>2.66</v>
      </c>
      <c r="D38" s="44">
        <f>C38*I38</f>
        <v>3697400</v>
      </c>
      <c r="E38" s="12"/>
      <c r="F38" s="9"/>
      <c r="G38" s="22">
        <v>0.25</v>
      </c>
      <c r="H38" s="45">
        <f>G38*I38</f>
        <v>347500</v>
      </c>
      <c r="I38" s="45">
        <v>1390000</v>
      </c>
      <c r="J38" s="44">
        <f>(D38+F38+H38)*3%</f>
        <v>121347</v>
      </c>
      <c r="K38" s="44">
        <f>(D38+F38+H38)*17.5%</f>
        <v>707857.5</v>
      </c>
      <c r="L38" s="44">
        <f>J38+K38</f>
        <v>829204.5</v>
      </c>
      <c r="M38" s="44">
        <f>(D38+F38+H38)*1.5%</f>
        <v>60673.5</v>
      </c>
      <c r="N38" s="44">
        <f>(D38+F38+H38)*8%</f>
        <v>323592</v>
      </c>
      <c r="O38" s="44">
        <f>M38+N38</f>
        <v>384265.5</v>
      </c>
      <c r="P38" s="44"/>
      <c r="Q38" s="44"/>
      <c r="R38" s="44"/>
      <c r="S38" s="44"/>
      <c r="T38" s="18"/>
    </row>
    <row r="39" spans="1:20" ht="20.25" customHeight="1">
      <c r="A39" s="16">
        <v>21</v>
      </c>
      <c r="B39" s="18" t="s">
        <v>145</v>
      </c>
      <c r="C39" s="22">
        <v>2.86</v>
      </c>
      <c r="D39" s="44">
        <f>C39*I39</f>
        <v>3975400</v>
      </c>
      <c r="E39" s="12"/>
      <c r="F39" s="9"/>
      <c r="G39" s="22">
        <v>0.3</v>
      </c>
      <c r="H39" s="45">
        <f>G39*I39</f>
        <v>417000</v>
      </c>
      <c r="I39" s="45">
        <v>1390000</v>
      </c>
      <c r="J39" s="44">
        <f>(D39+F39+H39)*3%</f>
        <v>131772</v>
      </c>
      <c r="K39" s="44">
        <f>(D39+F39+H39)*17.5%</f>
        <v>768670</v>
      </c>
      <c r="L39" s="44">
        <f>J39+K39</f>
        <v>900442</v>
      </c>
      <c r="M39" s="44">
        <f>(D39+F39+H39)*1.5%</f>
        <v>65886</v>
      </c>
      <c r="N39" s="44">
        <f>(D39+F39+H39)*8%</f>
        <v>351392</v>
      </c>
      <c r="O39" s="44">
        <f>M39+N39</f>
        <v>417278</v>
      </c>
      <c r="P39" s="44"/>
      <c r="Q39" s="44"/>
      <c r="R39" s="44"/>
      <c r="S39" s="44"/>
      <c r="T39" s="18"/>
    </row>
    <row r="40" spans="1:20" ht="20.25" customHeight="1">
      <c r="A40" s="23"/>
      <c r="B40" s="23" t="s">
        <v>12</v>
      </c>
      <c r="C40" s="27">
        <f>C41</f>
        <v>2.45</v>
      </c>
      <c r="D40" s="46">
        <f>D41</f>
        <v>3405500.0000000005</v>
      </c>
      <c r="E40" s="29">
        <f>E41</f>
        <v>0</v>
      </c>
      <c r="F40" s="29">
        <f>F41</f>
        <v>0</v>
      </c>
      <c r="G40" s="29">
        <f>G41</f>
        <v>0</v>
      </c>
      <c r="H40" s="46"/>
      <c r="I40" s="45">
        <v>1390000</v>
      </c>
      <c r="J40" s="46">
        <f aca="true" t="shared" si="19" ref="J40:O40">J41</f>
        <v>102165.00000000001</v>
      </c>
      <c r="K40" s="46">
        <f t="shared" si="19"/>
        <v>595962.5</v>
      </c>
      <c r="L40" s="46">
        <f t="shared" si="19"/>
        <v>698127.5</v>
      </c>
      <c r="M40" s="46">
        <f t="shared" si="19"/>
        <v>51082.50000000001</v>
      </c>
      <c r="N40" s="46">
        <f t="shared" si="19"/>
        <v>272440.00000000006</v>
      </c>
      <c r="O40" s="46">
        <f t="shared" si="19"/>
        <v>323522.50000000006</v>
      </c>
      <c r="P40" s="46"/>
      <c r="Q40" s="46"/>
      <c r="R40" s="46"/>
      <c r="S40" s="23"/>
      <c r="T40" s="23"/>
    </row>
    <row r="41" spans="1:20" ht="20.25" customHeight="1">
      <c r="A41" s="16">
        <v>22</v>
      </c>
      <c r="B41" s="18" t="s">
        <v>125</v>
      </c>
      <c r="C41" s="26">
        <v>2.45</v>
      </c>
      <c r="D41" s="44">
        <f>C41*I41</f>
        <v>3405500.0000000005</v>
      </c>
      <c r="E41" s="14"/>
      <c r="F41" s="9"/>
      <c r="G41" s="14"/>
      <c r="H41" s="46"/>
      <c r="I41" s="45">
        <v>1390000</v>
      </c>
      <c r="J41" s="44">
        <f>(D41+F41+H41)*3%</f>
        <v>102165.00000000001</v>
      </c>
      <c r="K41" s="44">
        <f>(D41+F41+H41)*17.5%</f>
        <v>595962.5</v>
      </c>
      <c r="L41" s="44">
        <f>J41+K41</f>
        <v>698127.5</v>
      </c>
      <c r="M41" s="44">
        <f>(D41+F41+H41)*1.5%</f>
        <v>51082.50000000001</v>
      </c>
      <c r="N41" s="44">
        <f>(D41+F41+H41)*8%</f>
        <v>272440.00000000006</v>
      </c>
      <c r="O41" s="44">
        <f>M41+N41</f>
        <v>323522.50000000006</v>
      </c>
      <c r="P41" s="44"/>
      <c r="Q41" s="44"/>
      <c r="R41" s="44"/>
      <c r="S41" s="23"/>
      <c r="T41" s="23"/>
    </row>
    <row r="42" spans="1:20" ht="20.25" customHeight="1">
      <c r="A42" s="16"/>
      <c r="B42" s="23" t="s">
        <v>13</v>
      </c>
      <c r="C42" s="8">
        <f aca="true" t="shared" si="20" ref="C42:H42">C8+C25+C27+C29+C31+C33+C35+C37+C40</f>
        <v>52.400000000000006</v>
      </c>
      <c r="D42" s="28">
        <f t="shared" si="20"/>
        <v>72389600</v>
      </c>
      <c r="E42" s="8">
        <f t="shared" si="20"/>
        <v>0</v>
      </c>
      <c r="F42" s="28">
        <f t="shared" si="20"/>
        <v>0</v>
      </c>
      <c r="G42" s="8">
        <f t="shared" si="20"/>
        <v>1.5</v>
      </c>
      <c r="H42" s="28">
        <f t="shared" si="20"/>
        <v>2013000</v>
      </c>
      <c r="I42" s="28"/>
      <c r="J42" s="28">
        <f aca="true" t="shared" si="21" ref="J42:O42">J8+J25+J27+J29+J31+J33+J35+J37+J40</f>
        <v>2232078</v>
      </c>
      <c r="K42" s="28">
        <f t="shared" si="21"/>
        <v>13020455</v>
      </c>
      <c r="L42" s="28">
        <f t="shared" si="21"/>
        <v>15252533</v>
      </c>
      <c r="M42" s="28">
        <f t="shared" si="21"/>
        <v>1116039</v>
      </c>
      <c r="N42" s="28">
        <f t="shared" si="21"/>
        <v>5952208</v>
      </c>
      <c r="O42" s="28">
        <f t="shared" si="21"/>
        <v>7068247</v>
      </c>
      <c r="P42" s="28"/>
      <c r="Q42" s="28"/>
      <c r="R42" s="28"/>
      <c r="S42" s="18"/>
      <c r="T42" s="18"/>
    </row>
    <row r="43" spans="3:15" ht="15.75">
      <c r="C43" s="47">
        <f>C8+C37+D45</f>
        <v>52.68</v>
      </c>
      <c r="D43" s="36">
        <f>C41+C36+C34+C32+C30</f>
        <v>10.870000000000001</v>
      </c>
      <c r="E43" s="48"/>
      <c r="J43" s="156"/>
      <c r="K43" s="156"/>
      <c r="L43" s="52"/>
      <c r="M43" s="156"/>
      <c r="N43" s="156"/>
      <c r="O43" s="58"/>
    </row>
    <row r="44" spans="1:15" ht="15.75">
      <c r="A44" s="158"/>
      <c r="B44" s="158"/>
      <c r="C44" s="8">
        <f>C8+C25+C37+D43+C27</f>
        <v>52.400000000000006</v>
      </c>
      <c r="D44" s="36">
        <f>0.7*6</f>
        <v>4.199999999999999</v>
      </c>
      <c r="E44" s="36"/>
      <c r="F44" s="5"/>
      <c r="G44" s="5"/>
      <c r="H44" s="5"/>
      <c r="I44" s="5"/>
      <c r="J44" s="158"/>
      <c r="K44" s="158"/>
      <c r="L44" s="53"/>
      <c r="M44" s="158"/>
      <c r="N44" s="158"/>
      <c r="O44" s="59"/>
    </row>
    <row r="45" spans="4:6" ht="17.25">
      <c r="D45" s="49">
        <f>SUM(D43:D44)</f>
        <v>15.07</v>
      </c>
      <c r="E45" s="36">
        <f>13.68</f>
        <v>13.68</v>
      </c>
      <c r="F45" s="38">
        <f>D45-E45</f>
        <v>1.3900000000000006</v>
      </c>
    </row>
    <row r="47" ht="15.75">
      <c r="D47" s="6">
        <v>2.76</v>
      </c>
    </row>
    <row r="48" ht="15.75">
      <c r="D48" s="6">
        <v>2.56</v>
      </c>
    </row>
    <row r="49" ht="15.75">
      <c r="D49" s="6">
        <v>2.56</v>
      </c>
    </row>
    <row r="50" ht="15.75">
      <c r="D50" s="6">
        <v>2.45</v>
      </c>
    </row>
    <row r="51" ht="15.75">
      <c r="D51" s="6">
        <v>3.35</v>
      </c>
    </row>
    <row r="53" ht="15.75">
      <c r="D53" s="50">
        <f>SUM(D47:D52)</f>
        <v>13.680000000000001</v>
      </c>
    </row>
  </sheetData>
  <sheetProtection/>
  <mergeCells count="24">
    <mergeCell ref="A1:T1"/>
    <mergeCell ref="P4:P6"/>
    <mergeCell ref="Q4:Q6"/>
    <mergeCell ref="R4:R6"/>
    <mergeCell ref="S4:S6"/>
    <mergeCell ref="A2:T2"/>
    <mergeCell ref="A4:A6"/>
    <mergeCell ref="B4:B6"/>
    <mergeCell ref="C4:D4"/>
    <mergeCell ref="E4:F4"/>
    <mergeCell ref="T4:T6"/>
    <mergeCell ref="C5:C6"/>
    <mergeCell ref="M4:O5"/>
    <mergeCell ref="D5:D6"/>
    <mergeCell ref="E5:F5"/>
    <mergeCell ref="G5:H5"/>
    <mergeCell ref="J4:L5"/>
    <mergeCell ref="I4:I6"/>
    <mergeCell ref="M43:N43"/>
    <mergeCell ref="G4:H4"/>
    <mergeCell ref="A44:B44"/>
    <mergeCell ref="J44:K44"/>
    <mergeCell ref="M44:N44"/>
    <mergeCell ref="J43:K43"/>
  </mergeCells>
  <printOptions horizontalCentered="1"/>
  <pageMargins left="0.25" right="0.25" top="0.5" bottom="0.5" header="0.39" footer="0.5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3"/>
  <sheetViews>
    <sheetView view="pageBreakPreview" zoomScale="90" zoomScaleNormal="90" zoomScaleSheetLayoutView="90" zoomScalePageLayoutView="0" workbookViewId="0" topLeftCell="A25">
      <selection activeCell="K33" sqref="K33"/>
    </sheetView>
  </sheetViews>
  <sheetFormatPr defaultColWidth="9.00390625" defaultRowHeight="15.75"/>
  <cols>
    <col min="1" max="1" width="3.50390625" style="6" customWidth="1"/>
    <col min="2" max="2" width="15.875" style="6" customWidth="1"/>
    <col min="3" max="3" width="8.00390625" style="6" customWidth="1"/>
    <col min="4" max="4" width="10.875" style="6" customWidth="1"/>
    <col min="5" max="5" width="6.00390625" style="7" customWidth="1"/>
    <col min="6" max="6" width="8.75390625" style="6" customWidth="1"/>
    <col min="7" max="7" width="6.625" style="7" customWidth="1"/>
    <col min="8" max="9" width="9.625" style="6" customWidth="1"/>
    <col min="10" max="10" width="11.125" style="6" customWidth="1"/>
    <col min="11" max="11" width="11.375" style="6" customWidth="1"/>
    <col min="12" max="12" width="11.125" style="51" customWidth="1"/>
    <col min="13" max="13" width="11.00390625" style="6" customWidth="1"/>
    <col min="14" max="14" width="11.50390625" style="6" customWidth="1"/>
    <col min="15" max="15" width="11.00390625" style="56" customWidth="1"/>
    <col min="16" max="16" width="10.875" style="6" customWidth="1"/>
    <col min="17" max="17" width="8.50390625" style="6" customWidth="1"/>
    <col min="18" max="19" width="11.00390625" style="6" customWidth="1"/>
    <col min="20" max="20" width="10.375" style="6" customWidth="1"/>
    <col min="21" max="21" width="11.125" style="6" bestFit="1" customWidth="1"/>
    <col min="22" max="16384" width="9.00390625" style="6" customWidth="1"/>
  </cols>
  <sheetData>
    <row r="1" spans="1:22" ht="21.75" customHeight="1">
      <c r="A1" s="158" t="s">
        <v>106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37"/>
      <c r="V1" s="37"/>
    </row>
    <row r="2" spans="1:20" ht="16.5" customHeight="1">
      <c r="A2" s="158" t="s">
        <v>210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15" ht="15.75">
      <c r="A3" s="6" t="s">
        <v>53</v>
      </c>
      <c r="D3" s="38"/>
      <c r="E3" s="39"/>
      <c r="F3" s="40"/>
      <c r="L3" s="6"/>
      <c r="O3" s="6"/>
    </row>
    <row r="4" spans="1:20" ht="15.75" customHeight="1">
      <c r="A4" s="171" t="s">
        <v>14</v>
      </c>
      <c r="B4" s="171" t="s">
        <v>24</v>
      </c>
      <c r="C4" s="174" t="s">
        <v>7</v>
      </c>
      <c r="D4" s="175"/>
      <c r="E4" s="157"/>
      <c r="F4" s="157"/>
      <c r="G4" s="157"/>
      <c r="H4" s="157"/>
      <c r="I4" s="159" t="s">
        <v>31</v>
      </c>
      <c r="J4" s="162" t="s">
        <v>22</v>
      </c>
      <c r="K4" s="163"/>
      <c r="L4" s="164"/>
      <c r="M4" s="162" t="s">
        <v>21</v>
      </c>
      <c r="N4" s="163"/>
      <c r="O4" s="164"/>
      <c r="P4" s="159" t="s">
        <v>29</v>
      </c>
      <c r="Q4" s="159" t="s">
        <v>30</v>
      </c>
      <c r="R4" s="159" t="s">
        <v>32</v>
      </c>
      <c r="S4" s="159" t="s">
        <v>33</v>
      </c>
      <c r="T4" s="159" t="s">
        <v>16</v>
      </c>
    </row>
    <row r="5" spans="1:20" ht="30" customHeight="1">
      <c r="A5" s="172"/>
      <c r="B5" s="172"/>
      <c r="C5" s="159" t="s">
        <v>9</v>
      </c>
      <c r="D5" s="159" t="s">
        <v>8</v>
      </c>
      <c r="E5" s="168" t="s">
        <v>23</v>
      </c>
      <c r="F5" s="169"/>
      <c r="G5" s="168" t="s">
        <v>10</v>
      </c>
      <c r="H5" s="170"/>
      <c r="I5" s="160"/>
      <c r="J5" s="165"/>
      <c r="K5" s="166"/>
      <c r="L5" s="167"/>
      <c r="M5" s="165"/>
      <c r="N5" s="166"/>
      <c r="O5" s="167"/>
      <c r="P5" s="160"/>
      <c r="Q5" s="160"/>
      <c r="R5" s="160"/>
      <c r="S5" s="160"/>
      <c r="T5" s="160"/>
    </row>
    <row r="6" spans="1:20" ht="79.5" customHeight="1">
      <c r="A6" s="173"/>
      <c r="B6" s="173"/>
      <c r="C6" s="161"/>
      <c r="D6" s="161"/>
      <c r="E6" s="2" t="s">
        <v>11</v>
      </c>
      <c r="F6" s="2" t="s">
        <v>8</v>
      </c>
      <c r="G6" s="2" t="s">
        <v>11</v>
      </c>
      <c r="H6" s="30" t="s">
        <v>8</v>
      </c>
      <c r="I6" s="161"/>
      <c r="J6" s="3" t="s">
        <v>17</v>
      </c>
      <c r="K6" s="3" t="s">
        <v>222</v>
      </c>
      <c r="L6" s="4" t="s">
        <v>13</v>
      </c>
      <c r="M6" s="3" t="s">
        <v>18</v>
      </c>
      <c r="N6" s="3" t="s">
        <v>19</v>
      </c>
      <c r="O6" s="57" t="s">
        <v>13</v>
      </c>
      <c r="P6" s="160"/>
      <c r="Q6" s="161"/>
      <c r="R6" s="161"/>
      <c r="S6" s="161"/>
      <c r="T6" s="161"/>
    </row>
    <row r="7" spans="1:20" ht="18.75" customHeight="1">
      <c r="A7" s="54" t="s">
        <v>34</v>
      </c>
      <c r="B7" s="54" t="s">
        <v>35</v>
      </c>
      <c r="C7" s="54" t="s">
        <v>36</v>
      </c>
      <c r="D7" s="54" t="s">
        <v>37</v>
      </c>
      <c r="E7" s="54" t="s">
        <v>38</v>
      </c>
      <c r="F7" s="54" t="s">
        <v>39</v>
      </c>
      <c r="G7" s="54" t="s">
        <v>40</v>
      </c>
      <c r="H7" s="54" t="s">
        <v>41</v>
      </c>
      <c r="I7" s="54" t="s">
        <v>42</v>
      </c>
      <c r="J7" s="55" t="s">
        <v>43</v>
      </c>
      <c r="K7" s="55" t="s">
        <v>44</v>
      </c>
      <c r="L7" s="55" t="s">
        <v>45</v>
      </c>
      <c r="M7" s="55" t="s">
        <v>46</v>
      </c>
      <c r="N7" s="55" t="s">
        <v>47</v>
      </c>
      <c r="O7" s="55" t="s">
        <v>48</v>
      </c>
      <c r="P7" s="55" t="s">
        <v>15</v>
      </c>
      <c r="Q7" s="54" t="s">
        <v>49</v>
      </c>
      <c r="R7" s="54" t="s">
        <v>50</v>
      </c>
      <c r="S7" s="54" t="s">
        <v>51</v>
      </c>
      <c r="T7" s="54" t="s">
        <v>52</v>
      </c>
    </row>
    <row r="8" spans="1:20" ht="15.75">
      <c r="A8" s="16"/>
      <c r="B8" s="17" t="s">
        <v>0</v>
      </c>
      <c r="C8" s="41">
        <f aca="true" t="shared" si="0" ref="C8:H8">SUM(C9:C24)</f>
        <v>32.089999999999996</v>
      </c>
      <c r="D8" s="42">
        <f t="shared" si="0"/>
        <v>44605100</v>
      </c>
      <c r="E8" s="64">
        <f t="shared" si="0"/>
        <v>0</v>
      </c>
      <c r="F8" s="42">
        <f t="shared" si="0"/>
        <v>0</v>
      </c>
      <c r="G8" s="15">
        <f t="shared" si="0"/>
        <v>0.65</v>
      </c>
      <c r="H8" s="9">
        <f t="shared" si="0"/>
        <v>903500</v>
      </c>
      <c r="I8" s="9"/>
      <c r="J8" s="42">
        <f aca="true" t="shared" si="1" ref="J8:O8">SUM(J9:J24)</f>
        <v>1365258</v>
      </c>
      <c r="K8" s="42">
        <f t="shared" si="1"/>
        <v>7964005</v>
      </c>
      <c r="L8" s="42">
        <f t="shared" si="1"/>
        <v>9329263</v>
      </c>
      <c r="M8" s="42">
        <f t="shared" si="1"/>
        <v>682629</v>
      </c>
      <c r="N8" s="42">
        <f t="shared" si="1"/>
        <v>3640688</v>
      </c>
      <c r="O8" s="42">
        <f t="shared" si="1"/>
        <v>4323317</v>
      </c>
      <c r="P8" s="42"/>
      <c r="Q8" s="42"/>
      <c r="R8" s="42"/>
      <c r="S8" s="43"/>
      <c r="T8" s="16"/>
    </row>
    <row r="9" spans="1:20" ht="15.75">
      <c r="A9" s="21" t="s">
        <v>34</v>
      </c>
      <c r="B9" s="1" t="s">
        <v>108</v>
      </c>
      <c r="C9" s="22">
        <v>2.46</v>
      </c>
      <c r="D9" s="44">
        <f>C9*I9</f>
        <v>3419400</v>
      </c>
      <c r="E9" s="78"/>
      <c r="F9" s="45"/>
      <c r="G9" s="22">
        <v>0.25</v>
      </c>
      <c r="H9" s="45">
        <f>G9*I9</f>
        <v>347500</v>
      </c>
      <c r="I9" s="45">
        <v>1390000</v>
      </c>
      <c r="J9" s="44">
        <f aca="true" t="shared" si="2" ref="J9:J22">(D9+F9+H9)*3%</f>
        <v>113007</v>
      </c>
      <c r="K9" s="44">
        <f>(D9+F9+H9)*17.5%</f>
        <v>659207.5</v>
      </c>
      <c r="L9" s="44">
        <f aca="true" t="shared" si="3" ref="L9:L22">J9+K9</f>
        <v>772214.5</v>
      </c>
      <c r="M9" s="44">
        <f aca="true" t="shared" si="4" ref="M9:M22">(D9+F9+H9)*1.5%</f>
        <v>56503.5</v>
      </c>
      <c r="N9" s="44">
        <f aca="true" t="shared" si="5" ref="N9:N22">(D9+F9+H9)*8%</f>
        <v>301352</v>
      </c>
      <c r="O9" s="44">
        <f aca="true" t="shared" si="6" ref="O9:O22">M9+N9</f>
        <v>357855.5</v>
      </c>
      <c r="P9" s="44"/>
      <c r="Q9" s="44"/>
      <c r="R9" s="44"/>
      <c r="S9" s="16"/>
      <c r="T9" s="16"/>
    </row>
    <row r="10" spans="1:20" ht="15.75">
      <c r="A10" s="21" t="s">
        <v>35</v>
      </c>
      <c r="B10" s="18" t="s">
        <v>109</v>
      </c>
      <c r="C10" s="22">
        <v>2.46</v>
      </c>
      <c r="D10" s="44">
        <f aca="true" t="shared" si="7" ref="D10:D22">C10*I10</f>
        <v>3419400</v>
      </c>
      <c r="E10" s="12"/>
      <c r="F10" s="45">
        <f aca="true" t="shared" si="8" ref="F10:F22">(E10*1150000)</f>
        <v>0</v>
      </c>
      <c r="G10" s="22">
        <v>0.2</v>
      </c>
      <c r="H10" s="45">
        <f>G10*I10</f>
        <v>278000</v>
      </c>
      <c r="I10" s="45">
        <v>1390000</v>
      </c>
      <c r="J10" s="44">
        <f t="shared" si="2"/>
        <v>110922</v>
      </c>
      <c r="K10" s="44">
        <f aca="true" t="shared" si="9" ref="K10:K21">(D10+F10+H10)*17.5%</f>
        <v>647045</v>
      </c>
      <c r="L10" s="44">
        <f t="shared" si="3"/>
        <v>757967</v>
      </c>
      <c r="M10" s="44">
        <f t="shared" si="4"/>
        <v>55461</v>
      </c>
      <c r="N10" s="44">
        <f t="shared" si="5"/>
        <v>295792</v>
      </c>
      <c r="O10" s="44">
        <f t="shared" si="6"/>
        <v>351253</v>
      </c>
      <c r="P10" s="44"/>
      <c r="Q10" s="44"/>
      <c r="R10" s="44"/>
      <c r="S10" s="18"/>
      <c r="T10" s="18"/>
    </row>
    <row r="11" spans="1:20" ht="15.75">
      <c r="A11" s="21"/>
      <c r="B11" s="18"/>
      <c r="C11" s="22"/>
      <c r="D11" s="44"/>
      <c r="E11" s="22"/>
      <c r="F11" s="45">
        <f t="shared" si="8"/>
        <v>0</v>
      </c>
      <c r="G11" s="22"/>
      <c r="H11" s="45">
        <f>G11*I11</f>
        <v>0</v>
      </c>
      <c r="I11" s="45"/>
      <c r="J11" s="44">
        <f t="shared" si="2"/>
        <v>0</v>
      </c>
      <c r="K11" s="44">
        <f t="shared" si="9"/>
        <v>0</v>
      </c>
      <c r="L11" s="44">
        <f t="shared" si="3"/>
        <v>0</v>
      </c>
      <c r="M11" s="44">
        <f t="shared" si="4"/>
        <v>0</v>
      </c>
      <c r="N11" s="44">
        <f t="shared" si="5"/>
        <v>0</v>
      </c>
      <c r="O11" s="44">
        <f t="shared" si="6"/>
        <v>0</v>
      </c>
      <c r="P11" s="44"/>
      <c r="Q11" s="44"/>
      <c r="R11" s="44"/>
      <c r="S11" s="18"/>
      <c r="T11" s="18"/>
    </row>
    <row r="12" spans="1:20" ht="15.75">
      <c r="A12" s="21">
        <v>3</v>
      </c>
      <c r="B12" s="18" t="s">
        <v>111</v>
      </c>
      <c r="C12" s="22">
        <v>2.34</v>
      </c>
      <c r="D12" s="44">
        <f t="shared" si="7"/>
        <v>3252600</v>
      </c>
      <c r="E12" s="12"/>
      <c r="F12" s="45">
        <f t="shared" si="8"/>
        <v>0</v>
      </c>
      <c r="G12" s="22">
        <v>0.2</v>
      </c>
      <c r="H12" s="45">
        <f>G12*I12</f>
        <v>278000</v>
      </c>
      <c r="I12" s="45">
        <v>1390000</v>
      </c>
      <c r="J12" s="44">
        <f t="shared" si="2"/>
        <v>105918</v>
      </c>
      <c r="K12" s="44">
        <f t="shared" si="9"/>
        <v>617855</v>
      </c>
      <c r="L12" s="44">
        <f t="shared" si="3"/>
        <v>723773</v>
      </c>
      <c r="M12" s="44">
        <f t="shared" si="4"/>
        <v>52959</v>
      </c>
      <c r="N12" s="44">
        <f t="shared" si="5"/>
        <v>282448</v>
      </c>
      <c r="O12" s="44">
        <f t="shared" si="6"/>
        <v>335407</v>
      </c>
      <c r="P12" s="44"/>
      <c r="Q12" s="44"/>
      <c r="R12" s="44"/>
      <c r="S12" s="18"/>
      <c r="T12" s="18"/>
    </row>
    <row r="13" spans="1:20" ht="15.75">
      <c r="A13" s="21">
        <v>4</v>
      </c>
      <c r="B13" s="18" t="s">
        <v>112</v>
      </c>
      <c r="C13" s="22">
        <v>3</v>
      </c>
      <c r="D13" s="44">
        <f t="shared" si="7"/>
        <v>4170000</v>
      </c>
      <c r="E13" s="12"/>
      <c r="F13" s="45">
        <f t="shared" si="8"/>
        <v>0</v>
      </c>
      <c r="G13" s="22"/>
      <c r="H13" s="45"/>
      <c r="I13" s="45">
        <v>1390000</v>
      </c>
      <c r="J13" s="44">
        <f t="shared" si="2"/>
        <v>125100</v>
      </c>
      <c r="K13" s="44">
        <f t="shared" si="9"/>
        <v>729750</v>
      </c>
      <c r="L13" s="44">
        <f t="shared" si="3"/>
        <v>854850</v>
      </c>
      <c r="M13" s="44">
        <f t="shared" si="4"/>
        <v>62550</v>
      </c>
      <c r="N13" s="44">
        <f t="shared" si="5"/>
        <v>333600</v>
      </c>
      <c r="O13" s="44">
        <f t="shared" si="6"/>
        <v>396150</v>
      </c>
      <c r="P13" s="44"/>
      <c r="Q13" s="44"/>
      <c r="R13" s="44"/>
      <c r="S13" s="18"/>
      <c r="T13" s="18"/>
    </row>
    <row r="14" spans="1:20" ht="15.75">
      <c r="A14" s="21">
        <v>5</v>
      </c>
      <c r="B14" s="18" t="s">
        <v>113</v>
      </c>
      <c r="C14" s="22">
        <v>2.26</v>
      </c>
      <c r="D14" s="44">
        <f t="shared" si="7"/>
        <v>3141399.9999999995</v>
      </c>
      <c r="E14" s="12"/>
      <c r="F14" s="45">
        <f t="shared" si="8"/>
        <v>0</v>
      </c>
      <c r="G14" s="22"/>
      <c r="H14" s="45">
        <f aca="true" t="shared" si="10" ref="H14:H22">(G14*1150000)</f>
        <v>0</v>
      </c>
      <c r="I14" s="45">
        <v>1390000</v>
      </c>
      <c r="J14" s="44">
        <f t="shared" si="2"/>
        <v>94241.99999999999</v>
      </c>
      <c r="K14" s="44">
        <f t="shared" si="9"/>
        <v>549744.9999999999</v>
      </c>
      <c r="L14" s="44">
        <f t="shared" si="3"/>
        <v>643986.9999999999</v>
      </c>
      <c r="M14" s="44">
        <f t="shared" si="4"/>
        <v>47120.99999999999</v>
      </c>
      <c r="N14" s="44">
        <f t="shared" si="5"/>
        <v>251311.99999999997</v>
      </c>
      <c r="O14" s="44">
        <f t="shared" si="6"/>
        <v>298432.99999999994</v>
      </c>
      <c r="P14" s="44"/>
      <c r="Q14" s="44"/>
      <c r="R14" s="44"/>
      <c r="S14" s="18"/>
      <c r="T14" s="18"/>
    </row>
    <row r="15" spans="1:20" ht="15.75">
      <c r="A15" s="21">
        <v>6</v>
      </c>
      <c r="B15" s="18" t="s">
        <v>114</v>
      </c>
      <c r="C15" s="22">
        <v>2.86</v>
      </c>
      <c r="D15" s="44">
        <f t="shared" si="7"/>
        <v>3975400</v>
      </c>
      <c r="E15" s="12"/>
      <c r="F15" s="45">
        <f t="shared" si="8"/>
        <v>0</v>
      </c>
      <c r="G15" s="22"/>
      <c r="H15" s="45">
        <f t="shared" si="10"/>
        <v>0</v>
      </c>
      <c r="I15" s="45">
        <v>1390000</v>
      </c>
      <c r="J15" s="44">
        <f t="shared" si="2"/>
        <v>119262</v>
      </c>
      <c r="K15" s="44">
        <f t="shared" si="9"/>
        <v>695695</v>
      </c>
      <c r="L15" s="44">
        <f t="shared" si="3"/>
        <v>814957</v>
      </c>
      <c r="M15" s="44">
        <f t="shared" si="4"/>
        <v>59631</v>
      </c>
      <c r="N15" s="44">
        <f t="shared" si="5"/>
        <v>318032</v>
      </c>
      <c r="O15" s="44">
        <f t="shared" si="6"/>
        <v>377663</v>
      </c>
      <c r="P15" s="44"/>
      <c r="Q15" s="44"/>
      <c r="R15" s="44"/>
      <c r="S15" s="18"/>
      <c r="T15" s="18"/>
    </row>
    <row r="16" spans="1:20" ht="15.75">
      <c r="A16" s="21">
        <v>7</v>
      </c>
      <c r="B16" s="18" t="s">
        <v>115</v>
      </c>
      <c r="C16" s="22">
        <v>2.46</v>
      </c>
      <c r="D16" s="44">
        <f t="shared" si="7"/>
        <v>3419400</v>
      </c>
      <c r="E16" s="12"/>
      <c r="F16" s="45">
        <f t="shared" si="8"/>
        <v>0</v>
      </c>
      <c r="G16" s="22"/>
      <c r="H16" s="45">
        <f t="shared" si="10"/>
        <v>0</v>
      </c>
      <c r="I16" s="45">
        <v>1390000</v>
      </c>
      <c r="J16" s="44">
        <f t="shared" si="2"/>
        <v>102582</v>
      </c>
      <c r="K16" s="44">
        <f t="shared" si="9"/>
        <v>598395</v>
      </c>
      <c r="L16" s="44">
        <f t="shared" si="3"/>
        <v>700977</v>
      </c>
      <c r="M16" s="44">
        <f t="shared" si="4"/>
        <v>51291</v>
      </c>
      <c r="N16" s="44">
        <f t="shared" si="5"/>
        <v>273552</v>
      </c>
      <c r="O16" s="44">
        <f t="shared" si="6"/>
        <v>324843</v>
      </c>
      <c r="P16" s="44"/>
      <c r="Q16" s="44"/>
      <c r="R16" s="44"/>
      <c r="S16" s="18"/>
      <c r="T16" s="18"/>
    </row>
    <row r="17" spans="1:20" ht="15.75">
      <c r="A17" s="21">
        <v>8</v>
      </c>
      <c r="B17" s="18" t="s">
        <v>147</v>
      </c>
      <c r="C17" s="22">
        <v>2.34</v>
      </c>
      <c r="D17" s="44">
        <f t="shared" si="7"/>
        <v>3252600</v>
      </c>
      <c r="E17" s="12"/>
      <c r="F17" s="45">
        <f t="shared" si="8"/>
        <v>0</v>
      </c>
      <c r="G17" s="22"/>
      <c r="H17" s="45">
        <f t="shared" si="10"/>
        <v>0</v>
      </c>
      <c r="I17" s="45">
        <v>1390000</v>
      </c>
      <c r="J17" s="44">
        <f t="shared" si="2"/>
        <v>97578</v>
      </c>
      <c r="K17" s="44">
        <f t="shared" si="9"/>
        <v>569205</v>
      </c>
      <c r="L17" s="44">
        <f t="shared" si="3"/>
        <v>666783</v>
      </c>
      <c r="M17" s="44">
        <f t="shared" si="4"/>
        <v>48789</v>
      </c>
      <c r="N17" s="44">
        <f t="shared" si="5"/>
        <v>260208</v>
      </c>
      <c r="O17" s="44">
        <f t="shared" si="6"/>
        <v>308997</v>
      </c>
      <c r="P17" s="44"/>
      <c r="Q17" s="44"/>
      <c r="R17" s="44"/>
      <c r="S17" s="18"/>
      <c r="T17" s="18"/>
    </row>
    <row r="18" spans="1:20" ht="15.75">
      <c r="A18" s="21">
        <v>9</v>
      </c>
      <c r="B18" s="18" t="s">
        <v>116</v>
      </c>
      <c r="C18" s="22">
        <v>2.26</v>
      </c>
      <c r="D18" s="44">
        <f t="shared" si="7"/>
        <v>3141399.9999999995</v>
      </c>
      <c r="E18" s="12"/>
      <c r="F18" s="45">
        <f t="shared" si="8"/>
        <v>0</v>
      </c>
      <c r="G18" s="22"/>
      <c r="H18" s="45">
        <f t="shared" si="10"/>
        <v>0</v>
      </c>
      <c r="I18" s="45">
        <v>1390000</v>
      </c>
      <c r="J18" s="44">
        <f t="shared" si="2"/>
        <v>94241.99999999999</v>
      </c>
      <c r="K18" s="44">
        <f t="shared" si="9"/>
        <v>549744.9999999999</v>
      </c>
      <c r="L18" s="44">
        <f t="shared" si="3"/>
        <v>643986.9999999999</v>
      </c>
      <c r="M18" s="44">
        <f t="shared" si="4"/>
        <v>47120.99999999999</v>
      </c>
      <c r="N18" s="44">
        <f t="shared" si="5"/>
        <v>251311.99999999997</v>
      </c>
      <c r="O18" s="44">
        <f t="shared" si="6"/>
        <v>298432.99999999994</v>
      </c>
      <c r="P18" s="44"/>
      <c r="Q18" s="44"/>
      <c r="R18" s="44"/>
      <c r="S18" s="18"/>
      <c r="T18" s="18"/>
    </row>
    <row r="19" spans="1:20" ht="15.75">
      <c r="A19" s="21">
        <v>10</v>
      </c>
      <c r="B19" s="18" t="s">
        <v>117</v>
      </c>
      <c r="C19" s="22">
        <v>2.46</v>
      </c>
      <c r="D19" s="44">
        <f t="shared" si="7"/>
        <v>3419400</v>
      </c>
      <c r="E19" s="12"/>
      <c r="F19" s="45">
        <f t="shared" si="8"/>
        <v>0</v>
      </c>
      <c r="G19" s="22"/>
      <c r="H19" s="45">
        <f t="shared" si="10"/>
        <v>0</v>
      </c>
      <c r="I19" s="45">
        <v>1390000</v>
      </c>
      <c r="J19" s="44">
        <f t="shared" si="2"/>
        <v>102582</v>
      </c>
      <c r="K19" s="44">
        <f t="shared" si="9"/>
        <v>598395</v>
      </c>
      <c r="L19" s="44">
        <f t="shared" si="3"/>
        <v>700977</v>
      </c>
      <c r="M19" s="44">
        <f t="shared" si="4"/>
        <v>51291</v>
      </c>
      <c r="N19" s="44">
        <f t="shared" si="5"/>
        <v>273552</v>
      </c>
      <c r="O19" s="44">
        <f t="shared" si="6"/>
        <v>324843</v>
      </c>
      <c r="P19" s="44"/>
      <c r="Q19" s="44"/>
      <c r="R19" s="44"/>
      <c r="S19" s="18"/>
      <c r="T19" s="18"/>
    </row>
    <row r="20" spans="1:20" ht="15.75">
      <c r="A20" s="21">
        <v>11</v>
      </c>
      <c r="B20" s="18" t="s">
        <v>118</v>
      </c>
      <c r="C20" s="22">
        <v>2.46</v>
      </c>
      <c r="D20" s="44">
        <f t="shared" si="7"/>
        <v>3419400</v>
      </c>
      <c r="E20" s="12"/>
      <c r="F20" s="45">
        <f t="shared" si="8"/>
        <v>0</v>
      </c>
      <c r="G20" s="22"/>
      <c r="H20" s="45">
        <f t="shared" si="10"/>
        <v>0</v>
      </c>
      <c r="I20" s="45">
        <v>1390000</v>
      </c>
      <c r="J20" s="44">
        <f t="shared" si="2"/>
        <v>102582</v>
      </c>
      <c r="K20" s="44">
        <f t="shared" si="9"/>
        <v>598395</v>
      </c>
      <c r="L20" s="44">
        <f t="shared" si="3"/>
        <v>700977</v>
      </c>
      <c r="M20" s="44">
        <f t="shared" si="4"/>
        <v>51291</v>
      </c>
      <c r="N20" s="44">
        <f t="shared" si="5"/>
        <v>273552</v>
      </c>
      <c r="O20" s="44">
        <f t="shared" si="6"/>
        <v>324843</v>
      </c>
      <c r="P20" s="44"/>
      <c r="Q20" s="44"/>
      <c r="R20" s="44"/>
      <c r="S20" s="18"/>
      <c r="T20" s="18"/>
    </row>
    <row r="21" spans="1:20" ht="15.75">
      <c r="A21" s="21">
        <v>12</v>
      </c>
      <c r="B21" s="18" t="s">
        <v>119</v>
      </c>
      <c r="C21" s="22">
        <v>2.06</v>
      </c>
      <c r="D21" s="44">
        <f t="shared" si="7"/>
        <v>2863400</v>
      </c>
      <c r="E21" s="12"/>
      <c r="F21" s="45">
        <f t="shared" si="8"/>
        <v>0</v>
      </c>
      <c r="G21" s="22"/>
      <c r="H21" s="45">
        <f t="shared" si="10"/>
        <v>0</v>
      </c>
      <c r="I21" s="45">
        <v>1390000</v>
      </c>
      <c r="J21" s="44">
        <f t="shared" si="2"/>
        <v>85902</v>
      </c>
      <c r="K21" s="44">
        <f t="shared" si="9"/>
        <v>501094.99999999994</v>
      </c>
      <c r="L21" s="44">
        <f t="shared" si="3"/>
        <v>586997</v>
      </c>
      <c r="M21" s="44">
        <f t="shared" si="4"/>
        <v>42951</v>
      </c>
      <c r="N21" s="44">
        <f t="shared" si="5"/>
        <v>229072</v>
      </c>
      <c r="O21" s="44">
        <f t="shared" si="6"/>
        <v>272023</v>
      </c>
      <c r="P21" s="44"/>
      <c r="Q21" s="44"/>
      <c r="R21" s="44"/>
      <c r="S21" s="18"/>
      <c r="T21" s="18"/>
    </row>
    <row r="22" spans="1:20" ht="15.75">
      <c r="A22" s="21">
        <v>13</v>
      </c>
      <c r="B22" s="18" t="s">
        <v>120</v>
      </c>
      <c r="C22" s="22">
        <v>2.67</v>
      </c>
      <c r="D22" s="44">
        <f t="shared" si="7"/>
        <v>3711300</v>
      </c>
      <c r="E22" s="12"/>
      <c r="F22" s="45">
        <f t="shared" si="8"/>
        <v>0</v>
      </c>
      <c r="G22" s="22"/>
      <c r="H22" s="45">
        <f t="shared" si="10"/>
        <v>0</v>
      </c>
      <c r="I22" s="45">
        <v>1390000</v>
      </c>
      <c r="J22" s="44">
        <f t="shared" si="2"/>
        <v>111339</v>
      </c>
      <c r="K22" s="44">
        <f>(D22+F22+H22)*17.5%</f>
        <v>649477.5</v>
      </c>
      <c r="L22" s="44">
        <f t="shared" si="3"/>
        <v>760816.5</v>
      </c>
      <c r="M22" s="44">
        <f t="shared" si="4"/>
        <v>55669.5</v>
      </c>
      <c r="N22" s="44">
        <f t="shared" si="5"/>
        <v>296904</v>
      </c>
      <c r="O22" s="44">
        <f t="shared" si="6"/>
        <v>352573.5</v>
      </c>
      <c r="P22" s="44"/>
      <c r="Q22" s="44"/>
      <c r="R22" s="44"/>
      <c r="S22" s="18"/>
      <c r="T22" s="18"/>
    </row>
    <row r="23" spans="1:20" ht="15.75">
      <c r="A23" s="21"/>
      <c r="B23" s="18"/>
      <c r="C23" s="22"/>
      <c r="D23" s="44"/>
      <c r="E23" s="12"/>
      <c r="F23" s="45"/>
      <c r="G23" s="22"/>
      <c r="H23" s="45"/>
      <c r="I23" s="45"/>
      <c r="J23" s="44"/>
      <c r="K23" s="44"/>
      <c r="L23" s="44"/>
      <c r="M23" s="44"/>
      <c r="N23" s="44"/>
      <c r="O23" s="44"/>
      <c r="P23" s="44"/>
      <c r="Q23" s="44"/>
      <c r="R23" s="44"/>
      <c r="S23" s="18"/>
      <c r="T23" s="18"/>
    </row>
    <row r="24" spans="1:20" ht="15.75">
      <c r="A24" s="21"/>
      <c r="B24" s="18"/>
      <c r="C24" s="22"/>
      <c r="D24" s="44"/>
      <c r="E24" s="12"/>
      <c r="F24" s="45"/>
      <c r="G24" s="22"/>
      <c r="H24" s="45"/>
      <c r="I24" s="45"/>
      <c r="J24" s="44"/>
      <c r="K24" s="44"/>
      <c r="L24" s="44"/>
      <c r="M24" s="44"/>
      <c r="N24" s="44"/>
      <c r="O24" s="44"/>
      <c r="P24" s="44"/>
      <c r="Q24" s="44"/>
      <c r="R24" s="44"/>
      <c r="S24" s="18"/>
      <c r="T24" s="18"/>
    </row>
    <row r="25" spans="1:20" ht="20.25" customHeight="1">
      <c r="A25" s="16"/>
      <c r="B25" s="19" t="s">
        <v>1</v>
      </c>
      <c r="C25" s="20">
        <v>1.86</v>
      </c>
      <c r="D25" s="46">
        <f>D26</f>
        <v>2139000</v>
      </c>
      <c r="E25" s="9">
        <f>E26</f>
        <v>0</v>
      </c>
      <c r="F25" s="9">
        <f>F26</f>
        <v>0</v>
      </c>
      <c r="G25" s="9">
        <f>G26</f>
        <v>0</v>
      </c>
      <c r="H25" s="46"/>
      <c r="I25" s="45">
        <v>1390000</v>
      </c>
      <c r="J25" s="46">
        <f aca="true" t="shared" si="11" ref="J25:O25">J26</f>
        <v>64170</v>
      </c>
      <c r="K25" s="46">
        <f t="shared" si="11"/>
        <v>374325</v>
      </c>
      <c r="L25" s="46">
        <f t="shared" si="11"/>
        <v>438495</v>
      </c>
      <c r="M25" s="46">
        <f t="shared" si="11"/>
        <v>32085</v>
      </c>
      <c r="N25" s="46">
        <f t="shared" si="11"/>
        <v>171120</v>
      </c>
      <c r="O25" s="46">
        <f t="shared" si="11"/>
        <v>203205</v>
      </c>
      <c r="P25" s="46"/>
      <c r="Q25" s="46"/>
      <c r="R25" s="46"/>
      <c r="S25" s="23"/>
      <c r="T25" s="23"/>
    </row>
    <row r="26" spans="1:20" ht="20.25" customHeight="1">
      <c r="A26" s="21">
        <v>14</v>
      </c>
      <c r="B26" s="1" t="s">
        <v>143</v>
      </c>
      <c r="C26" s="22">
        <v>1.86</v>
      </c>
      <c r="D26" s="44">
        <f>(C26*1150000)</f>
        <v>2139000</v>
      </c>
      <c r="E26" s="10"/>
      <c r="F26" s="9"/>
      <c r="G26" s="10"/>
      <c r="H26" s="46"/>
      <c r="I26" s="45">
        <v>1390000</v>
      </c>
      <c r="J26" s="44">
        <f>(D26+F26+H26)*3%</f>
        <v>64170</v>
      </c>
      <c r="K26" s="44">
        <f>(D26+F26+H26)*17.5%</f>
        <v>374325</v>
      </c>
      <c r="L26" s="44">
        <f>J26+K26</f>
        <v>438495</v>
      </c>
      <c r="M26" s="44">
        <f>(D26+F26+H26)*1.5%</f>
        <v>32085</v>
      </c>
      <c r="N26" s="44">
        <f>(D26+F26+H26)*8%</f>
        <v>171120</v>
      </c>
      <c r="O26" s="44">
        <f>M26+N26</f>
        <v>203205</v>
      </c>
      <c r="P26" s="44"/>
      <c r="Q26" s="44"/>
      <c r="R26" s="44"/>
      <c r="S26" s="23"/>
      <c r="T26" s="23"/>
    </row>
    <row r="27" spans="1:20" ht="20.25" customHeight="1">
      <c r="A27" s="16"/>
      <c r="B27" s="23" t="s">
        <v>25</v>
      </c>
      <c r="C27" s="24">
        <f>C28</f>
        <v>2.06</v>
      </c>
      <c r="D27" s="46">
        <f>D28</f>
        <v>2863400</v>
      </c>
      <c r="E27" s="11">
        <f>E28</f>
        <v>0</v>
      </c>
      <c r="F27" s="9"/>
      <c r="G27" s="11">
        <f>G28</f>
        <v>0</v>
      </c>
      <c r="H27" s="13">
        <f>H28</f>
        <v>0</v>
      </c>
      <c r="I27" s="45">
        <v>1390000</v>
      </c>
      <c r="J27" s="46">
        <f aca="true" t="shared" si="12" ref="J27:O27">J28</f>
        <v>85902</v>
      </c>
      <c r="K27" s="46">
        <f t="shared" si="12"/>
        <v>501094.99999999994</v>
      </c>
      <c r="L27" s="46">
        <f t="shared" si="12"/>
        <v>586997</v>
      </c>
      <c r="M27" s="46">
        <f t="shared" si="12"/>
        <v>42951</v>
      </c>
      <c r="N27" s="46">
        <f t="shared" si="12"/>
        <v>229072</v>
      </c>
      <c r="O27" s="46">
        <f t="shared" si="12"/>
        <v>272023</v>
      </c>
      <c r="P27" s="46"/>
      <c r="Q27" s="46"/>
      <c r="R27" s="46"/>
      <c r="S27" s="23"/>
      <c r="T27" s="23"/>
    </row>
    <row r="28" spans="1:20" ht="20.25" customHeight="1">
      <c r="A28" s="16">
        <v>15</v>
      </c>
      <c r="B28" s="18" t="s">
        <v>121</v>
      </c>
      <c r="C28" s="22">
        <v>2.06</v>
      </c>
      <c r="D28" s="44">
        <f>C28*I28</f>
        <v>2863400</v>
      </c>
      <c r="E28" s="12"/>
      <c r="F28" s="9"/>
      <c r="G28" s="22"/>
      <c r="H28" s="45"/>
      <c r="I28" s="45">
        <v>1390000</v>
      </c>
      <c r="J28" s="44">
        <f>(D28+F28+H28)*3%</f>
        <v>85902</v>
      </c>
      <c r="K28" s="44">
        <f>(D28+F28+H28)*17.5%</f>
        <v>501094.99999999994</v>
      </c>
      <c r="L28" s="44">
        <f>J28+K28</f>
        <v>586997</v>
      </c>
      <c r="M28" s="44">
        <f>(D28+F28+H28)*1.5%</f>
        <v>42951</v>
      </c>
      <c r="N28" s="44">
        <f>(D28+F28+H28)*8%</f>
        <v>229072</v>
      </c>
      <c r="O28" s="44">
        <f>M28+N28</f>
        <v>272023</v>
      </c>
      <c r="P28" s="44"/>
      <c r="Q28" s="44"/>
      <c r="R28" s="44"/>
      <c r="S28" s="23"/>
      <c r="T28" s="23"/>
    </row>
    <row r="29" spans="1:20" ht="20.25" customHeight="1">
      <c r="A29" s="16"/>
      <c r="B29" s="23" t="s">
        <v>3</v>
      </c>
      <c r="C29" s="24">
        <f>C30</f>
        <v>2.06</v>
      </c>
      <c r="D29" s="46">
        <f>D30</f>
        <v>2863400</v>
      </c>
      <c r="E29" s="11">
        <f>E30</f>
        <v>0</v>
      </c>
      <c r="F29" s="9"/>
      <c r="G29" s="11">
        <f>G30</f>
        <v>0.15</v>
      </c>
      <c r="H29" s="13">
        <f>H30</f>
        <v>172500</v>
      </c>
      <c r="I29" s="45">
        <v>1390000</v>
      </c>
      <c r="J29" s="46">
        <f aca="true" t="shared" si="13" ref="J29:O29">J30</f>
        <v>91077</v>
      </c>
      <c r="K29" s="46">
        <f t="shared" si="13"/>
        <v>531282.5</v>
      </c>
      <c r="L29" s="46">
        <f t="shared" si="13"/>
        <v>622359.5</v>
      </c>
      <c r="M29" s="46">
        <f t="shared" si="13"/>
        <v>45538.5</v>
      </c>
      <c r="N29" s="46">
        <f t="shared" si="13"/>
        <v>242872</v>
      </c>
      <c r="O29" s="46">
        <f t="shared" si="13"/>
        <v>288410.5</v>
      </c>
      <c r="P29" s="46"/>
      <c r="Q29" s="46"/>
      <c r="R29" s="46"/>
      <c r="S29" s="23"/>
      <c r="T29" s="23"/>
    </row>
    <row r="30" spans="1:20" ht="20.25" customHeight="1">
      <c r="A30" s="16">
        <v>16</v>
      </c>
      <c r="B30" s="18" t="s">
        <v>144</v>
      </c>
      <c r="C30" s="22">
        <v>2.06</v>
      </c>
      <c r="D30" s="44">
        <f>C30*I30</f>
        <v>2863400</v>
      </c>
      <c r="E30" s="12"/>
      <c r="F30" s="9"/>
      <c r="G30" s="22">
        <v>0.15</v>
      </c>
      <c r="H30" s="45">
        <f>(G30*1150000)</f>
        <v>172500</v>
      </c>
      <c r="I30" s="45">
        <v>1390000</v>
      </c>
      <c r="J30" s="44">
        <f>(D30+F30+H30)*3%</f>
        <v>91077</v>
      </c>
      <c r="K30" s="44">
        <f>(D30+F30+H30)*17.5%</f>
        <v>531282.5</v>
      </c>
      <c r="L30" s="44">
        <f>J30+K30</f>
        <v>622359.5</v>
      </c>
      <c r="M30" s="44">
        <f>(D30+F30+H30)*1.5%</f>
        <v>45538.5</v>
      </c>
      <c r="N30" s="44">
        <f>(D30+F30+H30)*8%</f>
        <v>242872</v>
      </c>
      <c r="O30" s="44">
        <f>M30+N30</f>
        <v>288410.5</v>
      </c>
      <c r="P30" s="44"/>
      <c r="Q30" s="44"/>
      <c r="R30" s="44"/>
      <c r="S30" s="23"/>
      <c r="T30" s="23"/>
    </row>
    <row r="31" spans="1:20" ht="15.75">
      <c r="A31" s="16"/>
      <c r="B31" s="23" t="s">
        <v>4</v>
      </c>
      <c r="C31" s="24">
        <f>C32</f>
        <v>2.25</v>
      </c>
      <c r="D31" s="46">
        <f>D32</f>
        <v>3127500</v>
      </c>
      <c r="E31" s="13">
        <f>E32</f>
        <v>0</v>
      </c>
      <c r="F31" s="9"/>
      <c r="G31" s="11">
        <f>G32</f>
        <v>0</v>
      </c>
      <c r="H31" s="13">
        <f>H32</f>
        <v>0</v>
      </c>
      <c r="I31" s="45">
        <v>1390000</v>
      </c>
      <c r="J31" s="46">
        <f aca="true" t="shared" si="14" ref="J31:O31">J32</f>
        <v>93825</v>
      </c>
      <c r="K31" s="46">
        <f t="shared" si="14"/>
        <v>547312.5</v>
      </c>
      <c r="L31" s="46">
        <f t="shared" si="14"/>
        <v>641137.5</v>
      </c>
      <c r="M31" s="46">
        <f t="shared" si="14"/>
        <v>46912.5</v>
      </c>
      <c r="N31" s="46">
        <f t="shared" si="14"/>
        <v>250200</v>
      </c>
      <c r="O31" s="46">
        <f t="shared" si="14"/>
        <v>297112.5</v>
      </c>
      <c r="P31" s="46"/>
      <c r="Q31" s="46"/>
      <c r="R31" s="46"/>
      <c r="S31" s="46"/>
      <c r="T31" s="18"/>
    </row>
    <row r="32" spans="1:20" ht="15.75">
      <c r="A32" s="16">
        <v>17</v>
      </c>
      <c r="B32" s="18" t="s">
        <v>122</v>
      </c>
      <c r="C32" s="22">
        <v>2.25</v>
      </c>
      <c r="D32" s="44">
        <f>C32*I32</f>
        <v>3127500</v>
      </c>
      <c r="E32" s="12"/>
      <c r="F32" s="9"/>
      <c r="G32" s="22"/>
      <c r="H32" s="45">
        <f>(G32*1150000)</f>
        <v>0</v>
      </c>
      <c r="I32" s="45">
        <v>1390000</v>
      </c>
      <c r="J32" s="44">
        <f>(D32+F32+H32)*3%</f>
        <v>93825</v>
      </c>
      <c r="K32" s="44">
        <f>(D32+F32+H32)*17.5%</f>
        <v>547312.5</v>
      </c>
      <c r="L32" s="44">
        <f>J32+K32</f>
        <v>641137.5</v>
      </c>
      <c r="M32" s="44">
        <f>(D32+F32+H32)*1.5%</f>
        <v>46912.5</v>
      </c>
      <c r="N32" s="44">
        <f>(D32+F32+H32)*8%</f>
        <v>250200</v>
      </c>
      <c r="O32" s="44">
        <f>M32+N32</f>
        <v>297112.5</v>
      </c>
      <c r="P32" s="44"/>
      <c r="Q32" s="44"/>
      <c r="R32" s="44"/>
      <c r="S32" s="44"/>
      <c r="T32" s="18"/>
    </row>
    <row r="33" spans="1:20" ht="20.25" customHeight="1">
      <c r="A33" s="16"/>
      <c r="B33" s="23" t="s">
        <v>5</v>
      </c>
      <c r="C33" s="24">
        <f>C34</f>
        <v>1.86</v>
      </c>
      <c r="D33" s="46">
        <f>D34</f>
        <v>2585400</v>
      </c>
      <c r="E33" s="13">
        <f>E34</f>
        <v>0</v>
      </c>
      <c r="F33" s="9"/>
      <c r="G33" s="11">
        <f>G34</f>
        <v>0.15</v>
      </c>
      <c r="H33" s="13">
        <f>H34</f>
        <v>172500</v>
      </c>
      <c r="I33" s="45">
        <v>1390000</v>
      </c>
      <c r="J33" s="42">
        <f aca="true" t="shared" si="15" ref="J33:O33">J34</f>
        <v>82737</v>
      </c>
      <c r="K33" s="42">
        <f t="shared" si="15"/>
        <v>482632.49999999994</v>
      </c>
      <c r="L33" s="42">
        <f t="shared" si="15"/>
        <v>565369.5</v>
      </c>
      <c r="M33" s="42">
        <f t="shared" si="15"/>
        <v>41368.5</v>
      </c>
      <c r="N33" s="42">
        <f t="shared" si="15"/>
        <v>220632</v>
      </c>
      <c r="O33" s="42">
        <f t="shared" si="15"/>
        <v>262000.5</v>
      </c>
      <c r="P33" s="42"/>
      <c r="Q33" s="42"/>
      <c r="R33" s="42"/>
      <c r="S33" s="23"/>
      <c r="T33" s="23"/>
    </row>
    <row r="34" spans="1:20" ht="20.25" customHeight="1">
      <c r="A34" s="16">
        <v>18</v>
      </c>
      <c r="B34" s="18" t="s">
        <v>133</v>
      </c>
      <c r="C34" s="22">
        <v>1.86</v>
      </c>
      <c r="D34" s="44">
        <f>C34*I34</f>
        <v>2585400</v>
      </c>
      <c r="E34" s="10"/>
      <c r="F34" s="9"/>
      <c r="G34" s="22">
        <v>0.15</v>
      </c>
      <c r="H34" s="45">
        <f>(G34*1150000)</f>
        <v>172500</v>
      </c>
      <c r="I34" s="45">
        <v>1390000</v>
      </c>
      <c r="J34" s="44">
        <f>(D34+F34+H34)*3%</f>
        <v>82737</v>
      </c>
      <c r="K34" s="44">
        <f>(D34+F34+H34)*17.5%</f>
        <v>482632.49999999994</v>
      </c>
      <c r="L34" s="44">
        <f>J34+K34</f>
        <v>565369.5</v>
      </c>
      <c r="M34" s="44">
        <f>(D34+F34+H34)*1.5%</f>
        <v>41368.5</v>
      </c>
      <c r="N34" s="44">
        <f>(D34+F34+H34)*8%</f>
        <v>220632</v>
      </c>
      <c r="O34" s="44">
        <f>M34+N34</f>
        <v>262000.5</v>
      </c>
      <c r="P34" s="44"/>
      <c r="Q34" s="44"/>
      <c r="R34" s="44"/>
      <c r="S34" s="23"/>
      <c r="T34" s="23"/>
    </row>
    <row r="35" spans="1:20" ht="20.25" customHeight="1">
      <c r="A35" s="16"/>
      <c r="B35" s="23" t="s">
        <v>6</v>
      </c>
      <c r="C35" s="25">
        <f>C36</f>
        <v>2.25</v>
      </c>
      <c r="D35" s="46">
        <f>D36</f>
        <v>3127500</v>
      </c>
      <c r="E35" s="13">
        <f>E36</f>
        <v>0</v>
      </c>
      <c r="F35" s="9"/>
      <c r="G35" s="13">
        <f>G36</f>
        <v>0</v>
      </c>
      <c r="H35" s="46"/>
      <c r="I35" s="45">
        <v>1390000</v>
      </c>
      <c r="J35" s="46">
        <f aca="true" t="shared" si="16" ref="J35:O35">J36</f>
        <v>93825</v>
      </c>
      <c r="K35" s="46">
        <f t="shared" si="16"/>
        <v>547312.5</v>
      </c>
      <c r="L35" s="46">
        <f t="shared" si="16"/>
        <v>641137.5</v>
      </c>
      <c r="M35" s="46">
        <f t="shared" si="16"/>
        <v>46912.5</v>
      </c>
      <c r="N35" s="46">
        <f t="shared" si="16"/>
        <v>250200</v>
      </c>
      <c r="O35" s="46">
        <f t="shared" si="16"/>
        <v>297112.5</v>
      </c>
      <c r="P35" s="46"/>
      <c r="Q35" s="46"/>
      <c r="R35" s="46"/>
      <c r="S35" s="23"/>
      <c r="T35" s="23"/>
    </row>
    <row r="36" spans="1:20" ht="20.25" customHeight="1">
      <c r="A36" s="16">
        <v>19</v>
      </c>
      <c r="B36" s="18" t="s">
        <v>124</v>
      </c>
      <c r="C36" s="22">
        <v>2.25</v>
      </c>
      <c r="D36" s="44">
        <f>C36*I36</f>
        <v>3127500</v>
      </c>
      <c r="E36" s="10"/>
      <c r="F36" s="9"/>
      <c r="G36" s="10"/>
      <c r="H36" s="46"/>
      <c r="I36" s="45">
        <v>1390000</v>
      </c>
      <c r="J36" s="44">
        <f>(D36+F36+H36)*3%</f>
        <v>93825</v>
      </c>
      <c r="K36" s="44">
        <f>(D36+F36+H36)*17.5%</f>
        <v>547312.5</v>
      </c>
      <c r="L36" s="44">
        <f>J36+K36</f>
        <v>641137.5</v>
      </c>
      <c r="M36" s="44">
        <f>(D36+F36+H36)*1.5%</f>
        <v>46912.5</v>
      </c>
      <c r="N36" s="44">
        <f>(D36+F36+H36)*8%</f>
        <v>250200</v>
      </c>
      <c r="O36" s="44">
        <f>M36+N36</f>
        <v>297112.5</v>
      </c>
      <c r="P36" s="44"/>
      <c r="Q36" s="44"/>
      <c r="R36" s="44"/>
      <c r="S36" s="23"/>
      <c r="T36" s="23"/>
    </row>
    <row r="37" spans="1:20" ht="20.25" customHeight="1">
      <c r="A37" s="16"/>
      <c r="B37" s="23" t="s">
        <v>2</v>
      </c>
      <c r="C37" s="25">
        <f aca="true" t="shared" si="17" ref="C37:H37">C38+C39</f>
        <v>5.52</v>
      </c>
      <c r="D37" s="46">
        <f t="shared" si="17"/>
        <v>7672800</v>
      </c>
      <c r="E37" s="11">
        <f t="shared" si="17"/>
        <v>0</v>
      </c>
      <c r="F37" s="46">
        <f t="shared" si="17"/>
        <v>0</v>
      </c>
      <c r="G37" s="11">
        <f t="shared" si="17"/>
        <v>0.55</v>
      </c>
      <c r="H37" s="13">
        <f t="shared" si="17"/>
        <v>764500</v>
      </c>
      <c r="I37" s="45">
        <v>1390000</v>
      </c>
      <c r="J37" s="46">
        <f aca="true" t="shared" si="18" ref="J37:O37">J38+J39</f>
        <v>253119</v>
      </c>
      <c r="K37" s="46">
        <f t="shared" si="18"/>
        <v>1476527.5</v>
      </c>
      <c r="L37" s="46">
        <f t="shared" si="18"/>
        <v>1729646.5</v>
      </c>
      <c r="M37" s="46">
        <f t="shared" si="18"/>
        <v>126559.5</v>
      </c>
      <c r="N37" s="46">
        <f t="shared" si="18"/>
        <v>674984</v>
      </c>
      <c r="O37" s="46">
        <f t="shared" si="18"/>
        <v>801543.5</v>
      </c>
      <c r="P37" s="46"/>
      <c r="Q37" s="46"/>
      <c r="R37" s="46"/>
      <c r="S37" s="23"/>
      <c r="T37" s="23"/>
    </row>
    <row r="38" spans="1:20" ht="20.25" customHeight="1">
      <c r="A38" s="16">
        <v>20</v>
      </c>
      <c r="B38" s="18" t="s">
        <v>110</v>
      </c>
      <c r="C38" s="22">
        <v>2.66</v>
      </c>
      <c r="D38" s="44">
        <f>C38*I38</f>
        <v>3697400</v>
      </c>
      <c r="E38" s="12"/>
      <c r="F38" s="9"/>
      <c r="G38" s="22">
        <v>0.25</v>
      </c>
      <c r="H38" s="45">
        <f>G38*I38</f>
        <v>347500</v>
      </c>
      <c r="I38" s="45">
        <v>1390000</v>
      </c>
      <c r="J38" s="44">
        <f>(D38+F38+H38)*3%</f>
        <v>121347</v>
      </c>
      <c r="K38" s="44">
        <f>(D38+F38+H38)*17.5%</f>
        <v>707857.5</v>
      </c>
      <c r="L38" s="44">
        <f>J38+K38</f>
        <v>829204.5</v>
      </c>
      <c r="M38" s="44">
        <f>(D38+F38+H38)*1.5%</f>
        <v>60673.5</v>
      </c>
      <c r="N38" s="44">
        <f>(D38+F38+H38)*8%</f>
        <v>323592</v>
      </c>
      <c r="O38" s="44">
        <f>M38+N38</f>
        <v>384265.5</v>
      </c>
      <c r="P38" s="44"/>
      <c r="Q38" s="44"/>
      <c r="R38" s="44"/>
      <c r="S38" s="44"/>
      <c r="T38" s="18"/>
    </row>
    <row r="39" spans="1:20" ht="20.25" customHeight="1">
      <c r="A39" s="16">
        <v>21</v>
      </c>
      <c r="B39" s="18" t="s">
        <v>145</v>
      </c>
      <c r="C39" s="22">
        <v>2.86</v>
      </c>
      <c r="D39" s="44">
        <f>C39*I39</f>
        <v>3975400</v>
      </c>
      <c r="E39" s="12"/>
      <c r="F39" s="9"/>
      <c r="G39" s="22">
        <v>0.3</v>
      </c>
      <c r="H39" s="45">
        <f>G39*I39</f>
        <v>417000</v>
      </c>
      <c r="I39" s="45">
        <v>1390000</v>
      </c>
      <c r="J39" s="44">
        <f>(D39+F39+H39)*3%</f>
        <v>131772</v>
      </c>
      <c r="K39" s="44">
        <f>(D39+F39+H39)*17.5%</f>
        <v>768670</v>
      </c>
      <c r="L39" s="44">
        <f>J39+K39</f>
        <v>900442</v>
      </c>
      <c r="M39" s="44">
        <f>(D39+F39+H39)*1.5%</f>
        <v>65886</v>
      </c>
      <c r="N39" s="44">
        <f>(D39+F39+H39)*8%</f>
        <v>351392</v>
      </c>
      <c r="O39" s="44">
        <f>M39+N39</f>
        <v>417278</v>
      </c>
      <c r="P39" s="44"/>
      <c r="Q39" s="44"/>
      <c r="R39" s="44"/>
      <c r="S39" s="44"/>
      <c r="T39" s="18"/>
    </row>
    <row r="40" spans="1:20" ht="20.25" customHeight="1">
      <c r="A40" s="23"/>
      <c r="B40" s="23" t="s">
        <v>12</v>
      </c>
      <c r="C40" s="27">
        <f>C41</f>
        <v>2.45</v>
      </c>
      <c r="D40" s="46">
        <f>D41</f>
        <v>3405500.0000000005</v>
      </c>
      <c r="E40" s="29">
        <f>E41</f>
        <v>0</v>
      </c>
      <c r="F40" s="29">
        <f>F41</f>
        <v>0</v>
      </c>
      <c r="G40" s="29">
        <f>G41</f>
        <v>0</v>
      </c>
      <c r="H40" s="46"/>
      <c r="I40" s="45">
        <v>1390000</v>
      </c>
      <c r="J40" s="46">
        <f aca="true" t="shared" si="19" ref="J40:O40">J41</f>
        <v>102165.00000000001</v>
      </c>
      <c r="K40" s="46">
        <f t="shared" si="19"/>
        <v>595962.5</v>
      </c>
      <c r="L40" s="46">
        <f t="shared" si="19"/>
        <v>698127.5</v>
      </c>
      <c r="M40" s="46">
        <f t="shared" si="19"/>
        <v>51082.50000000001</v>
      </c>
      <c r="N40" s="46">
        <f t="shared" si="19"/>
        <v>272440.00000000006</v>
      </c>
      <c r="O40" s="46">
        <f t="shared" si="19"/>
        <v>323522.50000000006</v>
      </c>
      <c r="P40" s="46"/>
      <c r="Q40" s="46"/>
      <c r="R40" s="46"/>
      <c r="S40" s="23"/>
      <c r="T40" s="23"/>
    </row>
    <row r="41" spans="1:20" ht="20.25" customHeight="1">
      <c r="A41" s="16">
        <v>22</v>
      </c>
      <c r="B41" s="18" t="s">
        <v>125</v>
      </c>
      <c r="C41" s="26">
        <v>2.45</v>
      </c>
      <c r="D41" s="44">
        <f>C41*I41</f>
        <v>3405500.0000000005</v>
      </c>
      <c r="E41" s="14"/>
      <c r="F41" s="9"/>
      <c r="G41" s="14"/>
      <c r="H41" s="46"/>
      <c r="I41" s="45">
        <v>1390000</v>
      </c>
      <c r="J41" s="44">
        <f>(D41+F41+H41)*3%</f>
        <v>102165.00000000001</v>
      </c>
      <c r="K41" s="44">
        <f>(D41+F41+H41)*17.5%</f>
        <v>595962.5</v>
      </c>
      <c r="L41" s="44">
        <f>J41+K41</f>
        <v>698127.5</v>
      </c>
      <c r="M41" s="44">
        <f>(D41+F41+H41)*1.5%</f>
        <v>51082.50000000001</v>
      </c>
      <c r="N41" s="44">
        <f>(D41+F41+H41)*8%</f>
        <v>272440.00000000006</v>
      </c>
      <c r="O41" s="44">
        <f>M41+N41</f>
        <v>323522.50000000006</v>
      </c>
      <c r="P41" s="44"/>
      <c r="Q41" s="44"/>
      <c r="R41" s="44"/>
      <c r="S41" s="23"/>
      <c r="T41" s="23"/>
    </row>
    <row r="42" spans="1:20" ht="20.25" customHeight="1">
      <c r="A42" s="16"/>
      <c r="B42" s="23" t="s">
        <v>13</v>
      </c>
      <c r="C42" s="8">
        <f aca="true" t="shared" si="20" ref="C42:H42">C8+C25+C27+C29+C31+C33+C35+C37+C40</f>
        <v>52.400000000000006</v>
      </c>
      <c r="D42" s="28">
        <f t="shared" si="20"/>
        <v>72389600</v>
      </c>
      <c r="E42" s="8">
        <f t="shared" si="20"/>
        <v>0</v>
      </c>
      <c r="F42" s="28">
        <f t="shared" si="20"/>
        <v>0</v>
      </c>
      <c r="G42" s="8">
        <f t="shared" si="20"/>
        <v>1.5</v>
      </c>
      <c r="H42" s="28">
        <f t="shared" si="20"/>
        <v>2013000</v>
      </c>
      <c r="I42" s="28"/>
      <c r="J42" s="28">
        <f aca="true" t="shared" si="21" ref="J42:O42">J8+J25+J27+J29+J31+J33+J35+J37+J40</f>
        <v>2232078</v>
      </c>
      <c r="K42" s="28">
        <f t="shared" si="21"/>
        <v>13020455</v>
      </c>
      <c r="L42" s="28">
        <f t="shared" si="21"/>
        <v>15252533</v>
      </c>
      <c r="M42" s="28">
        <f t="shared" si="21"/>
        <v>1116039</v>
      </c>
      <c r="N42" s="28">
        <f t="shared" si="21"/>
        <v>5952208</v>
      </c>
      <c r="O42" s="28">
        <f t="shared" si="21"/>
        <v>7068247</v>
      </c>
      <c r="P42" s="28"/>
      <c r="Q42" s="28"/>
      <c r="R42" s="28"/>
      <c r="S42" s="18"/>
      <c r="T42" s="18"/>
    </row>
    <row r="43" spans="3:15" ht="15.75">
      <c r="C43" s="47">
        <f>C8+C37+D45</f>
        <v>52.68</v>
      </c>
      <c r="D43" s="36">
        <f>C41+C36+C34+C32+C30</f>
        <v>10.870000000000001</v>
      </c>
      <c r="E43" s="48"/>
      <c r="J43" s="156"/>
      <c r="K43" s="156"/>
      <c r="L43" s="52"/>
      <c r="M43" s="156"/>
      <c r="N43" s="156"/>
      <c r="O43" s="58"/>
    </row>
    <row r="44" spans="1:15" ht="15.75">
      <c r="A44" s="158"/>
      <c r="B44" s="158"/>
      <c r="C44" s="8">
        <f>C8+C25+C37+D43+C27</f>
        <v>52.400000000000006</v>
      </c>
      <c r="D44" s="36">
        <f>0.7*6</f>
        <v>4.199999999999999</v>
      </c>
      <c r="E44" s="36"/>
      <c r="F44" s="5"/>
      <c r="G44" s="5"/>
      <c r="H44" s="5"/>
      <c r="I44" s="5"/>
      <c r="J44" s="158"/>
      <c r="K44" s="158"/>
      <c r="L44" s="53"/>
      <c r="M44" s="158"/>
      <c r="N44" s="158"/>
      <c r="O44" s="59"/>
    </row>
    <row r="45" spans="4:6" ht="17.25">
      <c r="D45" s="49">
        <f>SUM(D43:D44)</f>
        <v>15.07</v>
      </c>
      <c r="E45" s="36">
        <f>13.68</f>
        <v>13.68</v>
      </c>
      <c r="F45" s="38">
        <f>D45-E45</f>
        <v>1.3900000000000006</v>
      </c>
    </row>
    <row r="47" ht="15.75">
      <c r="D47" s="6">
        <v>2.76</v>
      </c>
    </row>
    <row r="48" ht="15.75">
      <c r="D48" s="6">
        <v>2.56</v>
      </c>
    </row>
    <row r="49" ht="15.75">
      <c r="D49" s="6">
        <v>2.56</v>
      </c>
    </row>
    <row r="50" ht="15.75">
      <c r="D50" s="6">
        <v>2.45</v>
      </c>
    </row>
    <row r="51" ht="15.75">
      <c r="D51" s="6">
        <v>3.35</v>
      </c>
    </row>
    <row r="53" ht="15.75">
      <c r="D53" s="50">
        <f>SUM(D47:D52)</f>
        <v>13.680000000000001</v>
      </c>
    </row>
  </sheetData>
  <sheetProtection/>
  <mergeCells count="24">
    <mergeCell ref="M43:N43"/>
    <mergeCell ref="G4:H4"/>
    <mergeCell ref="A44:B44"/>
    <mergeCell ref="J44:K44"/>
    <mergeCell ref="M44:N44"/>
    <mergeCell ref="J43:K43"/>
    <mergeCell ref="T4:T6"/>
    <mergeCell ref="C5:C6"/>
    <mergeCell ref="M4:O5"/>
    <mergeCell ref="D5:D6"/>
    <mergeCell ref="E5:F5"/>
    <mergeCell ref="G5:H5"/>
    <mergeCell ref="J4:L5"/>
    <mergeCell ref="I4:I6"/>
    <mergeCell ref="A1:T1"/>
    <mergeCell ref="P4:P6"/>
    <mergeCell ref="Q4:Q6"/>
    <mergeCell ref="R4:R6"/>
    <mergeCell ref="S4:S6"/>
    <mergeCell ref="A2:T2"/>
    <mergeCell ref="A4:A6"/>
    <mergeCell ref="B4:B6"/>
    <mergeCell ref="C4:D4"/>
    <mergeCell ref="E4:F4"/>
  </mergeCells>
  <printOptions horizontalCentered="1"/>
  <pageMargins left="0.25" right="0.25" top="0.5" bottom="0.5" header="0.39" footer="0.5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53"/>
  <sheetViews>
    <sheetView view="pageBreakPreview" zoomScale="90" zoomScaleNormal="90" zoomScaleSheetLayoutView="90" zoomScalePageLayoutView="0" workbookViewId="0" topLeftCell="A24">
      <selection activeCell="K42" sqref="K42"/>
    </sheetView>
  </sheetViews>
  <sheetFormatPr defaultColWidth="9.00390625" defaultRowHeight="15.75"/>
  <cols>
    <col min="1" max="1" width="3.50390625" style="6" customWidth="1"/>
    <col min="2" max="2" width="15.875" style="6" customWidth="1"/>
    <col min="3" max="3" width="8.00390625" style="6" customWidth="1"/>
    <col min="4" max="4" width="10.875" style="6" customWidth="1"/>
    <col min="5" max="5" width="6.00390625" style="7" customWidth="1"/>
    <col min="6" max="6" width="8.75390625" style="6" customWidth="1"/>
    <col min="7" max="7" width="6.625" style="7" customWidth="1"/>
    <col min="8" max="9" width="9.625" style="6" customWidth="1"/>
    <col min="10" max="10" width="11.125" style="6" customWidth="1"/>
    <col min="11" max="11" width="11.375" style="6" customWidth="1"/>
    <col min="12" max="12" width="11.125" style="51" customWidth="1"/>
    <col min="13" max="13" width="11.00390625" style="6" customWidth="1"/>
    <col min="14" max="14" width="11.50390625" style="6" customWidth="1"/>
    <col min="15" max="15" width="11.00390625" style="56" customWidth="1"/>
    <col min="16" max="16" width="10.875" style="6" customWidth="1"/>
    <col min="17" max="17" width="8.50390625" style="6" customWidth="1"/>
    <col min="18" max="19" width="11.00390625" style="6" customWidth="1"/>
    <col min="20" max="20" width="10.375" style="6" customWidth="1"/>
    <col min="21" max="21" width="11.125" style="6" bestFit="1" customWidth="1"/>
    <col min="22" max="16384" width="9.00390625" style="6" customWidth="1"/>
  </cols>
  <sheetData>
    <row r="1" spans="1:22" ht="21.75" customHeight="1">
      <c r="A1" s="158" t="s">
        <v>106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37"/>
      <c r="V1" s="37"/>
    </row>
    <row r="2" spans="1:20" ht="16.5" customHeight="1">
      <c r="A2" s="158" t="s">
        <v>211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</row>
    <row r="3" spans="1:15" ht="15.75">
      <c r="A3" s="6" t="s">
        <v>53</v>
      </c>
      <c r="D3" s="38"/>
      <c r="E3" s="39"/>
      <c r="F3" s="40"/>
      <c r="L3" s="6"/>
      <c r="O3" s="6"/>
    </row>
    <row r="4" spans="1:20" ht="15.75" customHeight="1">
      <c r="A4" s="171" t="s">
        <v>14</v>
      </c>
      <c r="B4" s="171" t="s">
        <v>24</v>
      </c>
      <c r="C4" s="174" t="s">
        <v>7</v>
      </c>
      <c r="D4" s="175"/>
      <c r="E4" s="157"/>
      <c r="F4" s="157"/>
      <c r="G4" s="157"/>
      <c r="H4" s="157"/>
      <c r="I4" s="159" t="s">
        <v>31</v>
      </c>
      <c r="J4" s="162" t="s">
        <v>22</v>
      </c>
      <c r="K4" s="163"/>
      <c r="L4" s="164"/>
      <c r="M4" s="162" t="s">
        <v>21</v>
      </c>
      <c r="N4" s="163"/>
      <c r="O4" s="164"/>
      <c r="P4" s="159" t="s">
        <v>29</v>
      </c>
      <c r="Q4" s="159" t="s">
        <v>30</v>
      </c>
      <c r="R4" s="159" t="s">
        <v>32</v>
      </c>
      <c r="S4" s="159" t="s">
        <v>33</v>
      </c>
      <c r="T4" s="159" t="s">
        <v>16</v>
      </c>
    </row>
    <row r="5" spans="1:20" ht="30" customHeight="1">
      <c r="A5" s="172"/>
      <c r="B5" s="172"/>
      <c r="C5" s="159" t="s">
        <v>9</v>
      </c>
      <c r="D5" s="159" t="s">
        <v>8</v>
      </c>
      <c r="E5" s="168" t="s">
        <v>23</v>
      </c>
      <c r="F5" s="169"/>
      <c r="G5" s="168" t="s">
        <v>10</v>
      </c>
      <c r="H5" s="170"/>
      <c r="I5" s="160"/>
      <c r="J5" s="165"/>
      <c r="K5" s="166"/>
      <c r="L5" s="167"/>
      <c r="M5" s="165"/>
      <c r="N5" s="166"/>
      <c r="O5" s="167"/>
      <c r="P5" s="160"/>
      <c r="Q5" s="160"/>
      <c r="R5" s="160"/>
      <c r="S5" s="160"/>
      <c r="T5" s="160"/>
    </row>
    <row r="6" spans="1:20" ht="79.5" customHeight="1">
      <c r="A6" s="173"/>
      <c r="B6" s="173"/>
      <c r="C6" s="161"/>
      <c r="D6" s="161"/>
      <c r="E6" s="2" t="s">
        <v>11</v>
      </c>
      <c r="F6" s="2" t="s">
        <v>8</v>
      </c>
      <c r="G6" s="2" t="s">
        <v>11</v>
      </c>
      <c r="H6" s="30" t="s">
        <v>8</v>
      </c>
      <c r="I6" s="161"/>
      <c r="J6" s="3" t="s">
        <v>17</v>
      </c>
      <c r="K6" s="3" t="s">
        <v>222</v>
      </c>
      <c r="L6" s="4" t="s">
        <v>13</v>
      </c>
      <c r="M6" s="3" t="s">
        <v>18</v>
      </c>
      <c r="N6" s="3" t="s">
        <v>19</v>
      </c>
      <c r="O6" s="57" t="s">
        <v>13</v>
      </c>
      <c r="P6" s="160"/>
      <c r="Q6" s="161"/>
      <c r="R6" s="161"/>
      <c r="S6" s="161"/>
      <c r="T6" s="161"/>
    </row>
    <row r="7" spans="1:20" ht="18.75" customHeight="1">
      <c r="A7" s="54" t="s">
        <v>34</v>
      </c>
      <c r="B7" s="54" t="s">
        <v>35</v>
      </c>
      <c r="C7" s="54" t="s">
        <v>36</v>
      </c>
      <c r="D7" s="54" t="s">
        <v>37</v>
      </c>
      <c r="E7" s="54" t="s">
        <v>38</v>
      </c>
      <c r="F7" s="54" t="s">
        <v>39</v>
      </c>
      <c r="G7" s="54" t="s">
        <v>40</v>
      </c>
      <c r="H7" s="54" t="s">
        <v>41</v>
      </c>
      <c r="I7" s="54" t="s">
        <v>42</v>
      </c>
      <c r="J7" s="55" t="s">
        <v>43</v>
      </c>
      <c r="K7" s="55" t="s">
        <v>44</v>
      </c>
      <c r="L7" s="55" t="s">
        <v>45</v>
      </c>
      <c r="M7" s="55" t="s">
        <v>46</v>
      </c>
      <c r="N7" s="55" t="s">
        <v>47</v>
      </c>
      <c r="O7" s="55" t="s">
        <v>48</v>
      </c>
      <c r="P7" s="55" t="s">
        <v>15</v>
      </c>
      <c r="Q7" s="54" t="s">
        <v>49</v>
      </c>
      <c r="R7" s="54" t="s">
        <v>50</v>
      </c>
      <c r="S7" s="54" t="s">
        <v>51</v>
      </c>
      <c r="T7" s="54" t="s">
        <v>52</v>
      </c>
    </row>
    <row r="8" spans="1:20" ht="15.75">
      <c r="A8" s="16"/>
      <c r="B8" s="17" t="s">
        <v>0</v>
      </c>
      <c r="C8" s="41">
        <f aca="true" t="shared" si="0" ref="C8:H8">SUM(C9:C24)</f>
        <v>32.089999999999996</v>
      </c>
      <c r="D8" s="42">
        <f t="shared" si="0"/>
        <v>44605100</v>
      </c>
      <c r="E8" s="64">
        <f t="shared" si="0"/>
        <v>0</v>
      </c>
      <c r="F8" s="42">
        <f t="shared" si="0"/>
        <v>0</v>
      </c>
      <c r="G8" s="15">
        <f t="shared" si="0"/>
        <v>0.65</v>
      </c>
      <c r="H8" s="9">
        <f t="shared" si="0"/>
        <v>903500</v>
      </c>
      <c r="I8" s="9"/>
      <c r="J8" s="42">
        <f aca="true" t="shared" si="1" ref="J8:O8">SUM(J9:J24)</f>
        <v>1365258</v>
      </c>
      <c r="K8" s="42">
        <f t="shared" si="1"/>
        <v>7964005</v>
      </c>
      <c r="L8" s="42">
        <f t="shared" si="1"/>
        <v>9329263</v>
      </c>
      <c r="M8" s="42">
        <f t="shared" si="1"/>
        <v>682629</v>
      </c>
      <c r="N8" s="42">
        <f t="shared" si="1"/>
        <v>3640688</v>
      </c>
      <c r="O8" s="42">
        <f t="shared" si="1"/>
        <v>4323317</v>
      </c>
      <c r="P8" s="42"/>
      <c r="Q8" s="42"/>
      <c r="R8" s="42"/>
      <c r="S8" s="43"/>
      <c r="T8" s="16"/>
    </row>
    <row r="9" spans="1:20" ht="15.75">
      <c r="A9" s="21" t="s">
        <v>34</v>
      </c>
      <c r="B9" s="1" t="s">
        <v>108</v>
      </c>
      <c r="C9" s="22">
        <v>2.46</v>
      </c>
      <c r="D9" s="44">
        <f>C9*I9</f>
        <v>3419400</v>
      </c>
      <c r="E9" s="78"/>
      <c r="F9" s="45"/>
      <c r="G9" s="22">
        <v>0.25</v>
      </c>
      <c r="H9" s="45">
        <f>G9*I9</f>
        <v>347500</v>
      </c>
      <c r="I9" s="45">
        <v>1390000</v>
      </c>
      <c r="J9" s="44">
        <f aca="true" t="shared" si="2" ref="J9:J22">(D9+F9+H9)*3%</f>
        <v>113007</v>
      </c>
      <c r="K9" s="44">
        <f>(D9+F9+H9)*17.5%</f>
        <v>659207.5</v>
      </c>
      <c r="L9" s="44">
        <f aca="true" t="shared" si="3" ref="L9:L22">J9+K9</f>
        <v>772214.5</v>
      </c>
      <c r="M9" s="44">
        <f aca="true" t="shared" si="4" ref="M9:M22">(D9+F9+H9)*1.5%</f>
        <v>56503.5</v>
      </c>
      <c r="N9" s="44">
        <f aca="true" t="shared" si="5" ref="N9:N22">(D9+F9+H9)*8%</f>
        <v>301352</v>
      </c>
      <c r="O9" s="44">
        <f aca="true" t="shared" si="6" ref="O9:O22">M9+N9</f>
        <v>357855.5</v>
      </c>
      <c r="P9" s="44"/>
      <c r="Q9" s="44"/>
      <c r="R9" s="44"/>
      <c r="S9" s="16"/>
      <c r="T9" s="16"/>
    </row>
    <row r="10" spans="1:20" ht="15.75">
      <c r="A10" s="21" t="s">
        <v>35</v>
      </c>
      <c r="B10" s="18" t="s">
        <v>109</v>
      </c>
      <c r="C10" s="22">
        <v>2.46</v>
      </c>
      <c r="D10" s="44">
        <f aca="true" t="shared" si="7" ref="D10:D22">C10*I10</f>
        <v>3419400</v>
      </c>
      <c r="E10" s="12"/>
      <c r="F10" s="45">
        <f aca="true" t="shared" si="8" ref="F10:F22">(E10*1150000)</f>
        <v>0</v>
      </c>
      <c r="G10" s="22">
        <v>0.2</v>
      </c>
      <c r="H10" s="45">
        <f>G10*I10</f>
        <v>278000</v>
      </c>
      <c r="I10" s="45">
        <v>1390000</v>
      </c>
      <c r="J10" s="44">
        <f t="shared" si="2"/>
        <v>110922</v>
      </c>
      <c r="K10" s="44">
        <f aca="true" t="shared" si="9" ref="K10:K22">(D10+F10+H10)*17.5%</f>
        <v>647045</v>
      </c>
      <c r="L10" s="44">
        <f t="shared" si="3"/>
        <v>757967</v>
      </c>
      <c r="M10" s="44">
        <f t="shared" si="4"/>
        <v>55461</v>
      </c>
      <c r="N10" s="44">
        <f t="shared" si="5"/>
        <v>295792</v>
      </c>
      <c r="O10" s="44">
        <f t="shared" si="6"/>
        <v>351253</v>
      </c>
      <c r="P10" s="44"/>
      <c r="Q10" s="44"/>
      <c r="R10" s="44"/>
      <c r="S10" s="18"/>
      <c r="T10" s="18"/>
    </row>
    <row r="11" spans="1:20" ht="15.75">
      <c r="A11" s="21"/>
      <c r="B11" s="18"/>
      <c r="C11" s="22"/>
      <c r="D11" s="44">
        <f t="shared" si="7"/>
        <v>0</v>
      </c>
      <c r="E11" s="22"/>
      <c r="F11" s="45">
        <f t="shared" si="8"/>
        <v>0</v>
      </c>
      <c r="G11" s="22"/>
      <c r="H11" s="45"/>
      <c r="I11" s="45"/>
      <c r="J11" s="44">
        <f t="shared" si="2"/>
        <v>0</v>
      </c>
      <c r="K11" s="44">
        <f t="shared" si="9"/>
        <v>0</v>
      </c>
      <c r="L11" s="44">
        <f t="shared" si="3"/>
        <v>0</v>
      </c>
      <c r="M11" s="44">
        <f t="shared" si="4"/>
        <v>0</v>
      </c>
      <c r="N11" s="44">
        <f t="shared" si="5"/>
        <v>0</v>
      </c>
      <c r="O11" s="44">
        <f t="shared" si="6"/>
        <v>0</v>
      </c>
      <c r="P11" s="44"/>
      <c r="Q11" s="44"/>
      <c r="R11" s="44"/>
      <c r="S11" s="18"/>
      <c r="T11" s="18"/>
    </row>
    <row r="12" spans="1:20" ht="15.75">
      <c r="A12" s="21">
        <v>3</v>
      </c>
      <c r="B12" s="18" t="s">
        <v>111</v>
      </c>
      <c r="C12" s="22">
        <v>2.34</v>
      </c>
      <c r="D12" s="44">
        <f t="shared" si="7"/>
        <v>3252600</v>
      </c>
      <c r="E12" s="12"/>
      <c r="F12" s="45">
        <f t="shared" si="8"/>
        <v>0</v>
      </c>
      <c r="G12" s="22">
        <v>0.2</v>
      </c>
      <c r="H12" s="45">
        <f>G12*I12</f>
        <v>278000</v>
      </c>
      <c r="I12" s="45">
        <v>1390000</v>
      </c>
      <c r="J12" s="44">
        <f t="shared" si="2"/>
        <v>105918</v>
      </c>
      <c r="K12" s="44">
        <f t="shared" si="9"/>
        <v>617855</v>
      </c>
      <c r="L12" s="44">
        <f t="shared" si="3"/>
        <v>723773</v>
      </c>
      <c r="M12" s="44">
        <f t="shared" si="4"/>
        <v>52959</v>
      </c>
      <c r="N12" s="44">
        <f t="shared" si="5"/>
        <v>282448</v>
      </c>
      <c r="O12" s="44">
        <f t="shared" si="6"/>
        <v>335407</v>
      </c>
      <c r="P12" s="44"/>
      <c r="Q12" s="44"/>
      <c r="R12" s="44"/>
      <c r="S12" s="18"/>
      <c r="T12" s="18"/>
    </row>
    <row r="13" spans="1:20" ht="15.75">
      <c r="A13" s="21">
        <v>4</v>
      </c>
      <c r="B13" s="18" t="s">
        <v>112</v>
      </c>
      <c r="C13" s="22">
        <v>3</v>
      </c>
      <c r="D13" s="44">
        <f t="shared" si="7"/>
        <v>4170000</v>
      </c>
      <c r="E13" s="12"/>
      <c r="F13" s="45">
        <f t="shared" si="8"/>
        <v>0</v>
      </c>
      <c r="G13" s="22"/>
      <c r="H13" s="45">
        <f>G13*I13</f>
        <v>0</v>
      </c>
      <c r="I13" s="45">
        <v>1390000</v>
      </c>
      <c r="J13" s="44">
        <f t="shared" si="2"/>
        <v>125100</v>
      </c>
      <c r="K13" s="44">
        <f t="shared" si="9"/>
        <v>729750</v>
      </c>
      <c r="L13" s="44">
        <f t="shared" si="3"/>
        <v>854850</v>
      </c>
      <c r="M13" s="44">
        <f t="shared" si="4"/>
        <v>62550</v>
      </c>
      <c r="N13" s="44">
        <f t="shared" si="5"/>
        <v>333600</v>
      </c>
      <c r="O13" s="44">
        <f t="shared" si="6"/>
        <v>396150</v>
      </c>
      <c r="P13" s="44"/>
      <c r="Q13" s="44"/>
      <c r="R13" s="44"/>
      <c r="S13" s="18"/>
      <c r="T13" s="18"/>
    </row>
    <row r="14" spans="1:20" ht="15.75">
      <c r="A14" s="21">
        <v>5</v>
      </c>
      <c r="B14" s="18" t="s">
        <v>113</v>
      </c>
      <c r="C14" s="22">
        <v>2.26</v>
      </c>
      <c r="D14" s="44">
        <f t="shared" si="7"/>
        <v>3141399.9999999995</v>
      </c>
      <c r="E14" s="12"/>
      <c r="F14" s="45">
        <f t="shared" si="8"/>
        <v>0</v>
      </c>
      <c r="G14" s="22"/>
      <c r="H14" s="45">
        <f aca="true" t="shared" si="10" ref="H14:H22">(G14*1150000)</f>
        <v>0</v>
      </c>
      <c r="I14" s="45">
        <v>1390000</v>
      </c>
      <c r="J14" s="44">
        <f t="shared" si="2"/>
        <v>94241.99999999999</v>
      </c>
      <c r="K14" s="44">
        <f t="shared" si="9"/>
        <v>549744.9999999999</v>
      </c>
      <c r="L14" s="44">
        <f t="shared" si="3"/>
        <v>643986.9999999999</v>
      </c>
      <c r="M14" s="44">
        <f t="shared" si="4"/>
        <v>47120.99999999999</v>
      </c>
      <c r="N14" s="44">
        <f t="shared" si="5"/>
        <v>251311.99999999997</v>
      </c>
      <c r="O14" s="44">
        <f t="shared" si="6"/>
        <v>298432.99999999994</v>
      </c>
      <c r="P14" s="44"/>
      <c r="Q14" s="44"/>
      <c r="R14" s="44"/>
      <c r="S14" s="18"/>
      <c r="T14" s="18"/>
    </row>
    <row r="15" spans="1:20" ht="15.75">
      <c r="A15" s="21">
        <v>6</v>
      </c>
      <c r="B15" s="18" t="s">
        <v>114</v>
      </c>
      <c r="C15" s="22">
        <v>2.86</v>
      </c>
      <c r="D15" s="44">
        <f t="shared" si="7"/>
        <v>3975400</v>
      </c>
      <c r="E15" s="12"/>
      <c r="F15" s="45">
        <f t="shared" si="8"/>
        <v>0</v>
      </c>
      <c r="G15" s="22"/>
      <c r="H15" s="45">
        <f t="shared" si="10"/>
        <v>0</v>
      </c>
      <c r="I15" s="45">
        <v>1390000</v>
      </c>
      <c r="J15" s="44">
        <f t="shared" si="2"/>
        <v>119262</v>
      </c>
      <c r="K15" s="44">
        <f t="shared" si="9"/>
        <v>695695</v>
      </c>
      <c r="L15" s="44">
        <f t="shared" si="3"/>
        <v>814957</v>
      </c>
      <c r="M15" s="44">
        <f t="shared" si="4"/>
        <v>59631</v>
      </c>
      <c r="N15" s="44">
        <f t="shared" si="5"/>
        <v>318032</v>
      </c>
      <c r="O15" s="44">
        <f t="shared" si="6"/>
        <v>377663</v>
      </c>
      <c r="P15" s="44"/>
      <c r="Q15" s="44"/>
      <c r="R15" s="44"/>
      <c r="S15" s="18"/>
      <c r="T15" s="18"/>
    </row>
    <row r="16" spans="1:20" ht="15.75">
      <c r="A16" s="21">
        <v>7</v>
      </c>
      <c r="B16" s="18" t="s">
        <v>115</v>
      </c>
      <c r="C16" s="22">
        <v>2.46</v>
      </c>
      <c r="D16" s="44">
        <f t="shared" si="7"/>
        <v>3419400</v>
      </c>
      <c r="E16" s="12"/>
      <c r="F16" s="45">
        <f t="shared" si="8"/>
        <v>0</v>
      </c>
      <c r="G16" s="22"/>
      <c r="H16" s="45">
        <f t="shared" si="10"/>
        <v>0</v>
      </c>
      <c r="I16" s="45">
        <v>1390000</v>
      </c>
      <c r="J16" s="44">
        <f t="shared" si="2"/>
        <v>102582</v>
      </c>
      <c r="K16" s="44">
        <f t="shared" si="9"/>
        <v>598395</v>
      </c>
      <c r="L16" s="44">
        <f t="shared" si="3"/>
        <v>700977</v>
      </c>
      <c r="M16" s="44">
        <f t="shared" si="4"/>
        <v>51291</v>
      </c>
      <c r="N16" s="44">
        <f t="shared" si="5"/>
        <v>273552</v>
      </c>
      <c r="O16" s="44">
        <f t="shared" si="6"/>
        <v>324843</v>
      </c>
      <c r="P16" s="44"/>
      <c r="Q16" s="44"/>
      <c r="R16" s="44"/>
      <c r="S16" s="18"/>
      <c r="T16" s="18"/>
    </row>
    <row r="17" spans="1:20" ht="15.75">
      <c r="A17" s="21">
        <v>8</v>
      </c>
      <c r="B17" s="18" t="s">
        <v>147</v>
      </c>
      <c r="C17" s="22">
        <v>2.34</v>
      </c>
      <c r="D17" s="44">
        <f t="shared" si="7"/>
        <v>3252600</v>
      </c>
      <c r="E17" s="12"/>
      <c r="F17" s="45">
        <f t="shared" si="8"/>
        <v>0</v>
      </c>
      <c r="G17" s="22"/>
      <c r="H17" s="45">
        <f t="shared" si="10"/>
        <v>0</v>
      </c>
      <c r="I17" s="45">
        <v>1390000</v>
      </c>
      <c r="J17" s="44">
        <f t="shared" si="2"/>
        <v>97578</v>
      </c>
      <c r="K17" s="44">
        <f t="shared" si="9"/>
        <v>569205</v>
      </c>
      <c r="L17" s="44">
        <f t="shared" si="3"/>
        <v>666783</v>
      </c>
      <c r="M17" s="44">
        <f t="shared" si="4"/>
        <v>48789</v>
      </c>
      <c r="N17" s="44">
        <f t="shared" si="5"/>
        <v>260208</v>
      </c>
      <c r="O17" s="44">
        <f t="shared" si="6"/>
        <v>308997</v>
      </c>
      <c r="P17" s="44"/>
      <c r="Q17" s="44"/>
      <c r="R17" s="44"/>
      <c r="S17" s="18"/>
      <c r="T17" s="18"/>
    </row>
    <row r="18" spans="1:20" ht="15.75">
      <c r="A18" s="21">
        <v>9</v>
      </c>
      <c r="B18" s="18" t="s">
        <v>116</v>
      </c>
      <c r="C18" s="22">
        <v>2.26</v>
      </c>
      <c r="D18" s="44">
        <f t="shared" si="7"/>
        <v>3141399.9999999995</v>
      </c>
      <c r="E18" s="12"/>
      <c r="F18" s="45">
        <f t="shared" si="8"/>
        <v>0</v>
      </c>
      <c r="G18" s="22"/>
      <c r="H18" s="45">
        <f t="shared" si="10"/>
        <v>0</v>
      </c>
      <c r="I18" s="45">
        <v>1390000</v>
      </c>
      <c r="J18" s="44">
        <f t="shared" si="2"/>
        <v>94241.99999999999</v>
      </c>
      <c r="K18" s="44">
        <f t="shared" si="9"/>
        <v>549744.9999999999</v>
      </c>
      <c r="L18" s="44">
        <f t="shared" si="3"/>
        <v>643986.9999999999</v>
      </c>
      <c r="M18" s="44">
        <f t="shared" si="4"/>
        <v>47120.99999999999</v>
      </c>
      <c r="N18" s="44">
        <f t="shared" si="5"/>
        <v>251311.99999999997</v>
      </c>
      <c r="O18" s="44">
        <f t="shared" si="6"/>
        <v>298432.99999999994</v>
      </c>
      <c r="P18" s="44"/>
      <c r="Q18" s="44"/>
      <c r="R18" s="44"/>
      <c r="S18" s="18"/>
      <c r="T18" s="18"/>
    </row>
    <row r="19" spans="1:20" ht="15.75">
      <c r="A19" s="21">
        <v>10</v>
      </c>
      <c r="B19" s="18" t="s">
        <v>117</v>
      </c>
      <c r="C19" s="22">
        <v>2.46</v>
      </c>
      <c r="D19" s="44">
        <f t="shared" si="7"/>
        <v>3419400</v>
      </c>
      <c r="E19" s="12"/>
      <c r="F19" s="45">
        <f t="shared" si="8"/>
        <v>0</v>
      </c>
      <c r="G19" s="22"/>
      <c r="H19" s="45">
        <f t="shared" si="10"/>
        <v>0</v>
      </c>
      <c r="I19" s="45">
        <v>1390000</v>
      </c>
      <c r="J19" s="44">
        <f t="shared" si="2"/>
        <v>102582</v>
      </c>
      <c r="K19" s="44">
        <f t="shared" si="9"/>
        <v>598395</v>
      </c>
      <c r="L19" s="44">
        <f t="shared" si="3"/>
        <v>700977</v>
      </c>
      <c r="M19" s="44">
        <f t="shared" si="4"/>
        <v>51291</v>
      </c>
      <c r="N19" s="44">
        <f t="shared" si="5"/>
        <v>273552</v>
      </c>
      <c r="O19" s="44">
        <f t="shared" si="6"/>
        <v>324843</v>
      </c>
      <c r="P19" s="44"/>
      <c r="Q19" s="44"/>
      <c r="R19" s="44"/>
      <c r="S19" s="18"/>
      <c r="T19" s="18"/>
    </row>
    <row r="20" spans="1:20" ht="15.75">
      <c r="A20" s="21">
        <v>11</v>
      </c>
      <c r="B20" s="18" t="s">
        <v>118</v>
      </c>
      <c r="C20" s="22">
        <v>2.46</v>
      </c>
      <c r="D20" s="44">
        <f t="shared" si="7"/>
        <v>3419400</v>
      </c>
      <c r="E20" s="12"/>
      <c r="F20" s="45">
        <f t="shared" si="8"/>
        <v>0</v>
      </c>
      <c r="G20" s="22"/>
      <c r="H20" s="45">
        <f t="shared" si="10"/>
        <v>0</v>
      </c>
      <c r="I20" s="45">
        <v>1390000</v>
      </c>
      <c r="J20" s="44">
        <f t="shared" si="2"/>
        <v>102582</v>
      </c>
      <c r="K20" s="44">
        <f t="shared" si="9"/>
        <v>598395</v>
      </c>
      <c r="L20" s="44">
        <f t="shared" si="3"/>
        <v>700977</v>
      </c>
      <c r="M20" s="44">
        <f t="shared" si="4"/>
        <v>51291</v>
      </c>
      <c r="N20" s="44">
        <f t="shared" si="5"/>
        <v>273552</v>
      </c>
      <c r="O20" s="44">
        <f t="shared" si="6"/>
        <v>324843</v>
      </c>
      <c r="P20" s="44"/>
      <c r="Q20" s="44"/>
      <c r="R20" s="44"/>
      <c r="S20" s="18"/>
      <c r="T20" s="18"/>
    </row>
    <row r="21" spans="1:20" ht="15.75">
      <c r="A21" s="21">
        <v>12</v>
      </c>
      <c r="B21" s="18" t="s">
        <v>119</v>
      </c>
      <c r="C21" s="22">
        <v>2.06</v>
      </c>
      <c r="D21" s="44">
        <f t="shared" si="7"/>
        <v>2863400</v>
      </c>
      <c r="E21" s="12"/>
      <c r="F21" s="45">
        <f t="shared" si="8"/>
        <v>0</v>
      </c>
      <c r="G21" s="22"/>
      <c r="H21" s="45">
        <f t="shared" si="10"/>
        <v>0</v>
      </c>
      <c r="I21" s="45">
        <v>1390000</v>
      </c>
      <c r="J21" s="44">
        <f t="shared" si="2"/>
        <v>85902</v>
      </c>
      <c r="K21" s="44">
        <f t="shared" si="9"/>
        <v>501094.99999999994</v>
      </c>
      <c r="L21" s="44">
        <f t="shared" si="3"/>
        <v>586997</v>
      </c>
      <c r="M21" s="44">
        <f t="shared" si="4"/>
        <v>42951</v>
      </c>
      <c r="N21" s="44">
        <f t="shared" si="5"/>
        <v>229072</v>
      </c>
      <c r="O21" s="44">
        <f t="shared" si="6"/>
        <v>272023</v>
      </c>
      <c r="P21" s="44"/>
      <c r="Q21" s="44"/>
      <c r="R21" s="44"/>
      <c r="S21" s="18"/>
      <c r="T21" s="18"/>
    </row>
    <row r="22" spans="1:20" ht="15.75">
      <c r="A22" s="21">
        <v>13</v>
      </c>
      <c r="B22" s="18" t="s">
        <v>120</v>
      </c>
      <c r="C22" s="22">
        <v>2.67</v>
      </c>
      <c r="D22" s="44">
        <f t="shared" si="7"/>
        <v>3711300</v>
      </c>
      <c r="E22" s="12"/>
      <c r="F22" s="45">
        <f t="shared" si="8"/>
        <v>0</v>
      </c>
      <c r="G22" s="22"/>
      <c r="H22" s="45">
        <f t="shared" si="10"/>
        <v>0</v>
      </c>
      <c r="I22" s="45">
        <v>1390000</v>
      </c>
      <c r="J22" s="44">
        <f t="shared" si="2"/>
        <v>111339</v>
      </c>
      <c r="K22" s="44">
        <f t="shared" si="9"/>
        <v>649477.5</v>
      </c>
      <c r="L22" s="44">
        <f t="shared" si="3"/>
        <v>760816.5</v>
      </c>
      <c r="M22" s="44">
        <f t="shared" si="4"/>
        <v>55669.5</v>
      </c>
      <c r="N22" s="44">
        <f t="shared" si="5"/>
        <v>296904</v>
      </c>
      <c r="O22" s="44">
        <f t="shared" si="6"/>
        <v>352573.5</v>
      </c>
      <c r="P22" s="44"/>
      <c r="Q22" s="44"/>
      <c r="R22" s="44"/>
      <c r="S22" s="18"/>
      <c r="T22" s="18"/>
    </row>
    <row r="23" spans="1:20" ht="15.75">
      <c r="A23" s="21"/>
      <c r="B23" s="18"/>
      <c r="C23" s="22"/>
      <c r="D23" s="44"/>
      <c r="E23" s="12"/>
      <c r="F23" s="45"/>
      <c r="G23" s="22"/>
      <c r="H23" s="45"/>
      <c r="I23" s="45"/>
      <c r="J23" s="44"/>
      <c r="K23" s="44"/>
      <c r="L23" s="44"/>
      <c r="M23" s="44"/>
      <c r="N23" s="44"/>
      <c r="O23" s="44"/>
      <c r="P23" s="44"/>
      <c r="Q23" s="44"/>
      <c r="R23" s="44"/>
      <c r="S23" s="18"/>
      <c r="T23" s="18"/>
    </row>
    <row r="24" spans="1:20" ht="15.75">
      <c r="A24" s="21"/>
      <c r="B24" s="18"/>
      <c r="C24" s="22"/>
      <c r="D24" s="44"/>
      <c r="E24" s="12"/>
      <c r="F24" s="45"/>
      <c r="G24" s="22"/>
      <c r="H24" s="45"/>
      <c r="I24" s="45"/>
      <c r="J24" s="44"/>
      <c r="K24" s="44"/>
      <c r="L24" s="44"/>
      <c r="M24" s="44"/>
      <c r="N24" s="44"/>
      <c r="O24" s="44"/>
      <c r="P24" s="44"/>
      <c r="Q24" s="44"/>
      <c r="R24" s="44"/>
      <c r="S24" s="18"/>
      <c r="T24" s="18"/>
    </row>
    <row r="25" spans="1:20" ht="20.25" customHeight="1">
      <c r="A25" s="16"/>
      <c r="B25" s="19" t="s">
        <v>1</v>
      </c>
      <c r="C25" s="20">
        <v>1.86</v>
      </c>
      <c r="D25" s="46">
        <f>D26</f>
        <v>2139000</v>
      </c>
      <c r="E25" s="9">
        <f>E26</f>
        <v>0</v>
      </c>
      <c r="F25" s="9">
        <f>F26</f>
        <v>0</v>
      </c>
      <c r="G25" s="9">
        <f>G26</f>
        <v>0</v>
      </c>
      <c r="H25" s="46"/>
      <c r="I25" s="45">
        <v>1390000</v>
      </c>
      <c r="J25" s="46">
        <f aca="true" t="shared" si="11" ref="J25:O25">J26</f>
        <v>64170</v>
      </c>
      <c r="K25" s="46">
        <f t="shared" si="11"/>
        <v>374325</v>
      </c>
      <c r="L25" s="46">
        <f t="shared" si="11"/>
        <v>438495</v>
      </c>
      <c r="M25" s="46">
        <f t="shared" si="11"/>
        <v>32085</v>
      </c>
      <c r="N25" s="46">
        <f t="shared" si="11"/>
        <v>171120</v>
      </c>
      <c r="O25" s="46">
        <f t="shared" si="11"/>
        <v>203205</v>
      </c>
      <c r="P25" s="46"/>
      <c r="Q25" s="46"/>
      <c r="R25" s="46"/>
      <c r="S25" s="23"/>
      <c r="T25" s="23"/>
    </row>
    <row r="26" spans="1:20" ht="20.25" customHeight="1">
      <c r="A26" s="21">
        <v>14</v>
      </c>
      <c r="B26" s="1" t="s">
        <v>143</v>
      </c>
      <c r="C26" s="22">
        <v>1.86</v>
      </c>
      <c r="D26" s="44">
        <f>(C26*1150000)</f>
        <v>2139000</v>
      </c>
      <c r="E26" s="10"/>
      <c r="F26" s="9"/>
      <c r="G26" s="10"/>
      <c r="H26" s="46"/>
      <c r="I26" s="45">
        <v>1390000</v>
      </c>
      <c r="J26" s="44">
        <f>(D26+F26+H26)*3%</f>
        <v>64170</v>
      </c>
      <c r="K26" s="44">
        <f>(D26+F26+H26)*17.5%</f>
        <v>374325</v>
      </c>
      <c r="L26" s="44">
        <f>J26+K26</f>
        <v>438495</v>
      </c>
      <c r="M26" s="44">
        <f>(D26+F26+H26)*1.5%</f>
        <v>32085</v>
      </c>
      <c r="N26" s="44">
        <f>(D26+F26+H26)*8%</f>
        <v>171120</v>
      </c>
      <c r="O26" s="44">
        <f>M26+N26</f>
        <v>203205</v>
      </c>
      <c r="P26" s="44"/>
      <c r="Q26" s="44"/>
      <c r="R26" s="44"/>
      <c r="S26" s="23"/>
      <c r="T26" s="23"/>
    </row>
    <row r="27" spans="1:20" ht="20.25" customHeight="1">
      <c r="A27" s="16"/>
      <c r="B27" s="23" t="s">
        <v>25</v>
      </c>
      <c r="C27" s="24">
        <f>C28</f>
        <v>2.06</v>
      </c>
      <c r="D27" s="46">
        <f>D28</f>
        <v>2863400</v>
      </c>
      <c r="E27" s="11">
        <f>E28</f>
        <v>0</v>
      </c>
      <c r="F27" s="9"/>
      <c r="G27" s="11">
        <f>G28</f>
        <v>0</v>
      </c>
      <c r="H27" s="13">
        <f>H28</f>
        <v>0</v>
      </c>
      <c r="I27" s="45">
        <v>1390000</v>
      </c>
      <c r="J27" s="46">
        <f aca="true" t="shared" si="12" ref="J27:O27">J28</f>
        <v>85902</v>
      </c>
      <c r="K27" s="46">
        <f t="shared" si="12"/>
        <v>501094.99999999994</v>
      </c>
      <c r="L27" s="46">
        <f t="shared" si="12"/>
        <v>586997</v>
      </c>
      <c r="M27" s="46">
        <f t="shared" si="12"/>
        <v>42951</v>
      </c>
      <c r="N27" s="46">
        <f t="shared" si="12"/>
        <v>229072</v>
      </c>
      <c r="O27" s="46">
        <f t="shared" si="12"/>
        <v>272023</v>
      </c>
      <c r="P27" s="46"/>
      <c r="Q27" s="46"/>
      <c r="R27" s="46"/>
      <c r="S27" s="23"/>
      <c r="T27" s="23"/>
    </row>
    <row r="28" spans="1:20" ht="20.25" customHeight="1">
      <c r="A28" s="16">
        <v>15</v>
      </c>
      <c r="B28" s="18" t="s">
        <v>121</v>
      </c>
      <c r="C28" s="22">
        <v>2.06</v>
      </c>
      <c r="D28" s="44">
        <f>C28*I28</f>
        <v>2863400</v>
      </c>
      <c r="E28" s="12"/>
      <c r="F28" s="9"/>
      <c r="G28" s="22"/>
      <c r="H28" s="45"/>
      <c r="I28" s="45">
        <v>1390000</v>
      </c>
      <c r="J28" s="44">
        <f>(D28+F28+H28)*3%</f>
        <v>85902</v>
      </c>
      <c r="K28" s="44">
        <f>(D28+F28+H28)*17.5%</f>
        <v>501094.99999999994</v>
      </c>
      <c r="L28" s="44">
        <f>J28+K28</f>
        <v>586997</v>
      </c>
      <c r="M28" s="44">
        <f>(D28+F28+H28)*1.5%</f>
        <v>42951</v>
      </c>
      <c r="N28" s="44">
        <f>(D28+F28+H28)*8%</f>
        <v>229072</v>
      </c>
      <c r="O28" s="44">
        <f>M28+N28</f>
        <v>272023</v>
      </c>
      <c r="P28" s="44"/>
      <c r="Q28" s="44"/>
      <c r="R28" s="44"/>
      <c r="S28" s="23"/>
      <c r="T28" s="23"/>
    </row>
    <row r="29" spans="1:20" ht="20.25" customHeight="1">
      <c r="A29" s="16"/>
      <c r="B29" s="23" t="s">
        <v>3</v>
      </c>
      <c r="C29" s="24">
        <f>C30</f>
        <v>2.06</v>
      </c>
      <c r="D29" s="46">
        <f>D30</f>
        <v>2863400</v>
      </c>
      <c r="E29" s="11">
        <f>E30</f>
        <v>0</v>
      </c>
      <c r="F29" s="9"/>
      <c r="G29" s="11">
        <f>G30</f>
        <v>0.15</v>
      </c>
      <c r="H29" s="13">
        <f>H30</f>
        <v>172500</v>
      </c>
      <c r="I29" s="45">
        <v>1390000</v>
      </c>
      <c r="J29" s="46">
        <f aca="true" t="shared" si="13" ref="J29:O29">J30</f>
        <v>91077</v>
      </c>
      <c r="K29" s="46">
        <f t="shared" si="13"/>
        <v>531282.5</v>
      </c>
      <c r="L29" s="46">
        <f t="shared" si="13"/>
        <v>622359.5</v>
      </c>
      <c r="M29" s="46">
        <f t="shared" si="13"/>
        <v>45538.5</v>
      </c>
      <c r="N29" s="46">
        <f t="shared" si="13"/>
        <v>242872</v>
      </c>
      <c r="O29" s="46">
        <f t="shared" si="13"/>
        <v>288410.5</v>
      </c>
      <c r="P29" s="46"/>
      <c r="Q29" s="46"/>
      <c r="R29" s="46"/>
      <c r="S29" s="23"/>
      <c r="T29" s="23"/>
    </row>
    <row r="30" spans="1:20" ht="20.25" customHeight="1">
      <c r="A30" s="16">
        <v>16</v>
      </c>
      <c r="B30" s="18" t="s">
        <v>144</v>
      </c>
      <c r="C30" s="22">
        <v>2.06</v>
      </c>
      <c r="D30" s="44">
        <f>C30*I30</f>
        <v>2863400</v>
      </c>
      <c r="E30" s="12"/>
      <c r="F30" s="9"/>
      <c r="G30" s="22">
        <v>0.15</v>
      </c>
      <c r="H30" s="45">
        <f>(G30*1150000)</f>
        <v>172500</v>
      </c>
      <c r="I30" s="45">
        <v>1390000</v>
      </c>
      <c r="J30" s="44">
        <f>(D30+F30+H30)*3%</f>
        <v>91077</v>
      </c>
      <c r="K30" s="44">
        <f>(D30+F30+H30)*17.5%</f>
        <v>531282.5</v>
      </c>
      <c r="L30" s="44">
        <f>J30+K30</f>
        <v>622359.5</v>
      </c>
      <c r="M30" s="44">
        <f>(D30+F30+H30)*1.5%</f>
        <v>45538.5</v>
      </c>
      <c r="N30" s="44">
        <f>(D30+F30+H30)*8%</f>
        <v>242872</v>
      </c>
      <c r="O30" s="44">
        <f>M30+N30</f>
        <v>288410.5</v>
      </c>
      <c r="P30" s="44"/>
      <c r="Q30" s="44"/>
      <c r="R30" s="44"/>
      <c r="S30" s="23"/>
      <c r="T30" s="23"/>
    </row>
    <row r="31" spans="1:20" ht="15.75">
      <c r="A31" s="16"/>
      <c r="B31" s="23" t="s">
        <v>4</v>
      </c>
      <c r="C31" s="24">
        <f>C32</f>
        <v>2.25</v>
      </c>
      <c r="D31" s="46">
        <f>D32</f>
        <v>3127500</v>
      </c>
      <c r="E31" s="13">
        <f>E32</f>
        <v>0</v>
      </c>
      <c r="F31" s="9"/>
      <c r="G31" s="11">
        <f>G32</f>
        <v>0</v>
      </c>
      <c r="H31" s="13">
        <f>H32</f>
        <v>0</v>
      </c>
      <c r="I31" s="45">
        <v>1390000</v>
      </c>
      <c r="J31" s="46">
        <f aca="true" t="shared" si="14" ref="J31:O31">J32</f>
        <v>93825</v>
      </c>
      <c r="K31" s="46">
        <f t="shared" si="14"/>
        <v>547312.5</v>
      </c>
      <c r="L31" s="46">
        <f t="shared" si="14"/>
        <v>641137.5</v>
      </c>
      <c r="M31" s="46">
        <f t="shared" si="14"/>
        <v>46912.5</v>
      </c>
      <c r="N31" s="46">
        <f t="shared" si="14"/>
        <v>250200</v>
      </c>
      <c r="O31" s="46">
        <f t="shared" si="14"/>
        <v>297112.5</v>
      </c>
      <c r="P31" s="46"/>
      <c r="Q31" s="46"/>
      <c r="R31" s="46"/>
      <c r="S31" s="46"/>
      <c r="T31" s="18"/>
    </row>
    <row r="32" spans="1:20" ht="15.75">
      <c r="A32" s="16">
        <v>17</v>
      </c>
      <c r="B32" s="18" t="s">
        <v>122</v>
      </c>
      <c r="C32" s="22">
        <v>2.25</v>
      </c>
      <c r="D32" s="44">
        <f>C32*I32</f>
        <v>3127500</v>
      </c>
      <c r="E32" s="12"/>
      <c r="F32" s="9"/>
      <c r="G32" s="22"/>
      <c r="H32" s="45">
        <f>(G32*1150000)</f>
        <v>0</v>
      </c>
      <c r="I32" s="45">
        <v>1390000</v>
      </c>
      <c r="J32" s="44">
        <f>(D32+F32+H32)*3%</f>
        <v>93825</v>
      </c>
      <c r="K32" s="44">
        <f>(D32+F32+H32)*17.5%</f>
        <v>547312.5</v>
      </c>
      <c r="L32" s="44">
        <f>J32+K32</f>
        <v>641137.5</v>
      </c>
      <c r="M32" s="44">
        <f>(D32+F32+H32)*1.5%</f>
        <v>46912.5</v>
      </c>
      <c r="N32" s="44">
        <f>(D32+F32+H32)*8%</f>
        <v>250200</v>
      </c>
      <c r="O32" s="44">
        <f>M32+N32</f>
        <v>297112.5</v>
      </c>
      <c r="P32" s="44"/>
      <c r="Q32" s="44"/>
      <c r="R32" s="44"/>
      <c r="S32" s="44"/>
      <c r="T32" s="18"/>
    </row>
    <row r="33" spans="1:20" ht="20.25" customHeight="1">
      <c r="A33" s="16"/>
      <c r="B33" s="23" t="s">
        <v>5</v>
      </c>
      <c r="C33" s="24">
        <f>C34</f>
        <v>1.86</v>
      </c>
      <c r="D33" s="46">
        <f>D34</f>
        <v>2585400</v>
      </c>
      <c r="E33" s="13">
        <f>E34</f>
        <v>0</v>
      </c>
      <c r="F33" s="9"/>
      <c r="G33" s="11">
        <f>G34</f>
        <v>0.15</v>
      </c>
      <c r="H33" s="13">
        <f>H34</f>
        <v>172500</v>
      </c>
      <c r="I33" s="45">
        <v>1390000</v>
      </c>
      <c r="J33" s="42">
        <f aca="true" t="shared" si="15" ref="J33:O33">J34</f>
        <v>82737</v>
      </c>
      <c r="K33" s="42">
        <f t="shared" si="15"/>
        <v>482632.49999999994</v>
      </c>
      <c r="L33" s="42">
        <f t="shared" si="15"/>
        <v>565369.5</v>
      </c>
      <c r="M33" s="42">
        <f t="shared" si="15"/>
        <v>41368.5</v>
      </c>
      <c r="N33" s="42">
        <f t="shared" si="15"/>
        <v>220632</v>
      </c>
      <c r="O33" s="42">
        <f t="shared" si="15"/>
        <v>262000.5</v>
      </c>
      <c r="P33" s="42"/>
      <c r="Q33" s="42"/>
      <c r="R33" s="42"/>
      <c r="S33" s="23"/>
      <c r="T33" s="23"/>
    </row>
    <row r="34" spans="1:20" ht="20.25" customHeight="1">
      <c r="A34" s="16">
        <v>18</v>
      </c>
      <c r="B34" s="18" t="s">
        <v>133</v>
      </c>
      <c r="C34" s="22">
        <v>1.86</v>
      </c>
      <c r="D34" s="44">
        <f>C34*I34</f>
        <v>2585400</v>
      </c>
      <c r="E34" s="10"/>
      <c r="F34" s="9"/>
      <c r="G34" s="22">
        <v>0.15</v>
      </c>
      <c r="H34" s="45">
        <f>(G34*1150000)</f>
        <v>172500</v>
      </c>
      <c r="I34" s="45">
        <v>1390000</v>
      </c>
      <c r="J34" s="44">
        <f>(D34+F34+H34)*3%</f>
        <v>82737</v>
      </c>
      <c r="K34" s="44">
        <f>(D34+F34+H34)*17.5%</f>
        <v>482632.49999999994</v>
      </c>
      <c r="L34" s="44">
        <f>J34+K34</f>
        <v>565369.5</v>
      </c>
      <c r="M34" s="44">
        <f>(D34+F34+H34)*1.5%</f>
        <v>41368.5</v>
      </c>
      <c r="N34" s="44">
        <f>(D34+F34+H34)*8%</f>
        <v>220632</v>
      </c>
      <c r="O34" s="44">
        <f>M34+N34</f>
        <v>262000.5</v>
      </c>
      <c r="P34" s="44"/>
      <c r="Q34" s="44"/>
      <c r="R34" s="44"/>
      <c r="S34" s="23"/>
      <c r="T34" s="23"/>
    </row>
    <row r="35" spans="1:20" ht="20.25" customHeight="1">
      <c r="A35" s="16"/>
      <c r="B35" s="23" t="s">
        <v>6</v>
      </c>
      <c r="C35" s="25">
        <f>C36</f>
        <v>2.25</v>
      </c>
      <c r="D35" s="46">
        <f>D36</f>
        <v>3127500</v>
      </c>
      <c r="E35" s="13">
        <f>E36</f>
        <v>0</v>
      </c>
      <c r="F35" s="9"/>
      <c r="G35" s="13">
        <f>G36</f>
        <v>0</v>
      </c>
      <c r="H35" s="46"/>
      <c r="I35" s="45">
        <v>1390000</v>
      </c>
      <c r="J35" s="46">
        <f aca="true" t="shared" si="16" ref="J35:O35">J36</f>
        <v>93825</v>
      </c>
      <c r="K35" s="46">
        <f t="shared" si="16"/>
        <v>547312.5</v>
      </c>
      <c r="L35" s="46">
        <f t="shared" si="16"/>
        <v>641137.5</v>
      </c>
      <c r="M35" s="46">
        <f t="shared" si="16"/>
        <v>46912.5</v>
      </c>
      <c r="N35" s="46">
        <f t="shared" si="16"/>
        <v>250200</v>
      </c>
      <c r="O35" s="46">
        <f t="shared" si="16"/>
        <v>297112.5</v>
      </c>
      <c r="P35" s="46"/>
      <c r="Q35" s="46"/>
      <c r="R35" s="46"/>
      <c r="S35" s="23"/>
      <c r="T35" s="23"/>
    </row>
    <row r="36" spans="1:20" ht="20.25" customHeight="1">
      <c r="A36" s="16">
        <v>19</v>
      </c>
      <c r="B36" s="18" t="s">
        <v>124</v>
      </c>
      <c r="C36" s="22">
        <v>2.25</v>
      </c>
      <c r="D36" s="44">
        <f>C36*I36</f>
        <v>3127500</v>
      </c>
      <c r="E36" s="10"/>
      <c r="F36" s="9"/>
      <c r="G36" s="10"/>
      <c r="H36" s="46"/>
      <c r="I36" s="45">
        <v>1390000</v>
      </c>
      <c r="J36" s="44">
        <f>(D36+F36+H36)*3%</f>
        <v>93825</v>
      </c>
      <c r="K36" s="44">
        <f>(D36+F36+H36)*17.5%</f>
        <v>547312.5</v>
      </c>
      <c r="L36" s="44">
        <f>J36+K36</f>
        <v>641137.5</v>
      </c>
      <c r="M36" s="44">
        <f>(D36+F36+H36)*1.5%</f>
        <v>46912.5</v>
      </c>
      <c r="N36" s="44">
        <f>(D36+F36+H36)*8%</f>
        <v>250200</v>
      </c>
      <c r="O36" s="44">
        <f>M36+N36</f>
        <v>297112.5</v>
      </c>
      <c r="P36" s="44"/>
      <c r="Q36" s="44"/>
      <c r="R36" s="44"/>
      <c r="S36" s="23"/>
      <c r="T36" s="23"/>
    </row>
    <row r="37" spans="1:20" ht="20.25" customHeight="1">
      <c r="A37" s="16"/>
      <c r="B37" s="23" t="s">
        <v>2</v>
      </c>
      <c r="C37" s="25">
        <f aca="true" t="shared" si="17" ref="C37:H37">C38+C39</f>
        <v>5.52</v>
      </c>
      <c r="D37" s="46">
        <f t="shared" si="17"/>
        <v>7672800</v>
      </c>
      <c r="E37" s="11">
        <f t="shared" si="17"/>
        <v>0</v>
      </c>
      <c r="F37" s="46">
        <f t="shared" si="17"/>
        <v>0</v>
      </c>
      <c r="G37" s="11">
        <f t="shared" si="17"/>
        <v>0.55</v>
      </c>
      <c r="H37" s="13">
        <f t="shared" si="17"/>
        <v>764500</v>
      </c>
      <c r="I37" s="45">
        <v>1390000</v>
      </c>
      <c r="J37" s="46">
        <f aca="true" t="shared" si="18" ref="J37:O37">J38+J39</f>
        <v>253119</v>
      </c>
      <c r="K37" s="46">
        <f t="shared" si="18"/>
        <v>1476527.5</v>
      </c>
      <c r="L37" s="46">
        <f t="shared" si="18"/>
        <v>1729646.5</v>
      </c>
      <c r="M37" s="46">
        <f t="shared" si="18"/>
        <v>126559.5</v>
      </c>
      <c r="N37" s="46">
        <f t="shared" si="18"/>
        <v>674984</v>
      </c>
      <c r="O37" s="46">
        <f t="shared" si="18"/>
        <v>801543.5</v>
      </c>
      <c r="P37" s="46"/>
      <c r="Q37" s="46"/>
      <c r="R37" s="46"/>
      <c r="S37" s="23"/>
      <c r="T37" s="23"/>
    </row>
    <row r="38" spans="1:20" ht="20.25" customHeight="1">
      <c r="A38" s="16">
        <v>20</v>
      </c>
      <c r="B38" s="18" t="s">
        <v>110</v>
      </c>
      <c r="C38" s="22">
        <v>2.66</v>
      </c>
      <c r="D38" s="44">
        <f>C38*I38</f>
        <v>3697400</v>
      </c>
      <c r="E38" s="12"/>
      <c r="F38" s="45"/>
      <c r="G38" s="22">
        <v>0.25</v>
      </c>
      <c r="H38" s="45">
        <f>G38*I38</f>
        <v>347500</v>
      </c>
      <c r="I38" s="45">
        <v>1390000</v>
      </c>
      <c r="J38" s="44">
        <f>(D38+F38+H38)*3%</f>
        <v>121347</v>
      </c>
      <c r="K38" s="44">
        <f>(D38+F38+H38)*17.5%</f>
        <v>707857.5</v>
      </c>
      <c r="L38" s="44">
        <f>J38+K38</f>
        <v>829204.5</v>
      </c>
      <c r="M38" s="44">
        <f>(D38+F38+H38)*1.5%</f>
        <v>60673.5</v>
      </c>
      <c r="N38" s="44">
        <f>(D38+F38+H38)*8%</f>
        <v>323592</v>
      </c>
      <c r="O38" s="44">
        <f>M38+N38</f>
        <v>384265.5</v>
      </c>
      <c r="P38" s="44"/>
      <c r="Q38" s="44"/>
      <c r="R38" s="44"/>
      <c r="S38" s="44"/>
      <c r="T38" s="18"/>
    </row>
    <row r="39" spans="1:20" ht="20.25" customHeight="1">
      <c r="A39" s="16">
        <v>21</v>
      </c>
      <c r="B39" s="18" t="s">
        <v>145</v>
      </c>
      <c r="C39" s="22">
        <v>2.86</v>
      </c>
      <c r="D39" s="44">
        <f>C39*I39</f>
        <v>3975400</v>
      </c>
      <c r="E39" s="12"/>
      <c r="F39" s="9"/>
      <c r="G39" s="22">
        <v>0.3</v>
      </c>
      <c r="H39" s="45">
        <f>G39*I39</f>
        <v>417000</v>
      </c>
      <c r="I39" s="45">
        <v>1390000</v>
      </c>
      <c r="J39" s="44">
        <f>(D39+F39+H39)*3%</f>
        <v>131772</v>
      </c>
      <c r="K39" s="44">
        <f>(D39+F39+H39)*17.5%</f>
        <v>768670</v>
      </c>
      <c r="L39" s="44">
        <f>J39+K39</f>
        <v>900442</v>
      </c>
      <c r="M39" s="44">
        <f>(D39+F39+H39)*1.5%</f>
        <v>65886</v>
      </c>
      <c r="N39" s="44">
        <f>(D39+F39+H39)*8%</f>
        <v>351392</v>
      </c>
      <c r="O39" s="44">
        <f>M39+N39</f>
        <v>417278</v>
      </c>
      <c r="P39" s="44"/>
      <c r="Q39" s="44"/>
      <c r="R39" s="44"/>
      <c r="S39" s="44"/>
      <c r="T39" s="18"/>
    </row>
    <row r="40" spans="1:20" ht="20.25" customHeight="1">
      <c r="A40" s="23"/>
      <c r="B40" s="23" t="s">
        <v>12</v>
      </c>
      <c r="C40" s="27">
        <f>C41</f>
        <v>2.45</v>
      </c>
      <c r="D40" s="46">
        <f>D41</f>
        <v>3405500.0000000005</v>
      </c>
      <c r="E40" s="29">
        <f>E41</f>
        <v>0</v>
      </c>
      <c r="F40" s="29">
        <f>F41</f>
        <v>0</v>
      </c>
      <c r="G40" s="29">
        <f>G41</f>
        <v>0</v>
      </c>
      <c r="H40" s="46"/>
      <c r="I40" s="45">
        <v>1390000</v>
      </c>
      <c r="J40" s="46">
        <f aca="true" t="shared" si="19" ref="J40:O40">J41</f>
        <v>102165.00000000001</v>
      </c>
      <c r="K40" s="46">
        <f t="shared" si="19"/>
        <v>595962.5</v>
      </c>
      <c r="L40" s="46">
        <f t="shared" si="19"/>
        <v>698127.5</v>
      </c>
      <c r="M40" s="46">
        <f t="shared" si="19"/>
        <v>51082.50000000001</v>
      </c>
      <c r="N40" s="46">
        <f t="shared" si="19"/>
        <v>272440.00000000006</v>
      </c>
      <c r="O40" s="46">
        <f t="shared" si="19"/>
        <v>323522.50000000006</v>
      </c>
      <c r="P40" s="46"/>
      <c r="Q40" s="46"/>
      <c r="R40" s="46"/>
      <c r="S40" s="23"/>
      <c r="T40" s="23"/>
    </row>
    <row r="41" spans="1:20" ht="20.25" customHeight="1">
      <c r="A41" s="16">
        <v>22</v>
      </c>
      <c r="B41" s="18" t="s">
        <v>125</v>
      </c>
      <c r="C41" s="26">
        <v>2.45</v>
      </c>
      <c r="D41" s="44">
        <f>C41*I41</f>
        <v>3405500.0000000005</v>
      </c>
      <c r="E41" s="14"/>
      <c r="F41" s="9"/>
      <c r="G41" s="14"/>
      <c r="H41" s="46"/>
      <c r="I41" s="45">
        <v>1390000</v>
      </c>
      <c r="J41" s="44">
        <f>(D41+F41+H41)*3%</f>
        <v>102165.00000000001</v>
      </c>
      <c r="K41" s="44">
        <f>(D41+F41+H41)*17.5%</f>
        <v>595962.5</v>
      </c>
      <c r="L41" s="44">
        <f>J41+K41</f>
        <v>698127.5</v>
      </c>
      <c r="M41" s="44">
        <f>(D41+F41+H41)*1.5%</f>
        <v>51082.50000000001</v>
      </c>
      <c r="N41" s="44">
        <f>(D41+F41+H41)*8%</f>
        <v>272440.00000000006</v>
      </c>
      <c r="O41" s="44">
        <f>M41+N41</f>
        <v>323522.50000000006</v>
      </c>
      <c r="P41" s="44"/>
      <c r="Q41" s="44"/>
      <c r="R41" s="44"/>
      <c r="S41" s="23"/>
      <c r="T41" s="23"/>
    </row>
    <row r="42" spans="1:20" ht="20.25" customHeight="1">
      <c r="A42" s="16"/>
      <c r="B42" s="23" t="s">
        <v>13</v>
      </c>
      <c r="C42" s="8">
        <f aca="true" t="shared" si="20" ref="C42:H42">C8+C25+C27+C29+C31+C33+C35+C37+C40</f>
        <v>52.400000000000006</v>
      </c>
      <c r="D42" s="28">
        <f t="shared" si="20"/>
        <v>72389600</v>
      </c>
      <c r="E42" s="8">
        <f t="shared" si="20"/>
        <v>0</v>
      </c>
      <c r="F42" s="28">
        <f t="shared" si="20"/>
        <v>0</v>
      </c>
      <c r="G42" s="8">
        <f t="shared" si="20"/>
        <v>1.5</v>
      </c>
      <c r="H42" s="28">
        <f t="shared" si="20"/>
        <v>2013000</v>
      </c>
      <c r="I42" s="28"/>
      <c r="J42" s="28">
        <f aca="true" t="shared" si="21" ref="J42:O42">J8+J25+J27+J29+J31+J33+J35+J37+J40</f>
        <v>2232078</v>
      </c>
      <c r="K42" s="28">
        <f t="shared" si="21"/>
        <v>13020455</v>
      </c>
      <c r="L42" s="28">
        <f t="shared" si="21"/>
        <v>15252533</v>
      </c>
      <c r="M42" s="28">
        <f t="shared" si="21"/>
        <v>1116039</v>
      </c>
      <c r="N42" s="28">
        <f t="shared" si="21"/>
        <v>5952208</v>
      </c>
      <c r="O42" s="28">
        <f t="shared" si="21"/>
        <v>7068247</v>
      </c>
      <c r="P42" s="28"/>
      <c r="Q42" s="28"/>
      <c r="R42" s="28"/>
      <c r="S42" s="18"/>
      <c r="T42" s="18"/>
    </row>
    <row r="43" spans="3:15" ht="15.75">
      <c r="C43" s="47">
        <f>C8+C37+D45</f>
        <v>52.68</v>
      </c>
      <c r="D43" s="36">
        <f>C41+C36+C34+C32+C30</f>
        <v>10.870000000000001</v>
      </c>
      <c r="E43" s="48"/>
      <c r="J43" s="156"/>
      <c r="K43" s="156"/>
      <c r="L43" s="52"/>
      <c r="M43" s="156"/>
      <c r="N43" s="156"/>
      <c r="O43" s="58"/>
    </row>
    <row r="44" spans="1:15" ht="15.75">
      <c r="A44" s="158"/>
      <c r="B44" s="158"/>
      <c r="C44" s="8">
        <f>C8+C25+C37+D43+C27</f>
        <v>52.400000000000006</v>
      </c>
      <c r="D44" s="36">
        <f>0.7*6</f>
        <v>4.199999999999999</v>
      </c>
      <c r="E44" s="36"/>
      <c r="F44" s="5"/>
      <c r="G44" s="5"/>
      <c r="H44" s="5"/>
      <c r="I44" s="5"/>
      <c r="J44" s="158"/>
      <c r="K44" s="158"/>
      <c r="L44" s="53"/>
      <c r="M44" s="158"/>
      <c r="N44" s="158"/>
      <c r="O44" s="59"/>
    </row>
    <row r="45" spans="4:6" ht="17.25">
      <c r="D45" s="49">
        <f>SUM(D43:D44)</f>
        <v>15.07</v>
      </c>
      <c r="E45" s="36">
        <f>13.68</f>
        <v>13.68</v>
      </c>
      <c r="F45" s="38">
        <f>D45-E45</f>
        <v>1.3900000000000006</v>
      </c>
    </row>
    <row r="47" ht="15.75">
      <c r="D47" s="6">
        <v>2.76</v>
      </c>
    </row>
    <row r="48" ht="15.75">
      <c r="D48" s="6">
        <v>2.56</v>
      </c>
    </row>
    <row r="49" ht="15.75">
      <c r="D49" s="6">
        <v>2.56</v>
      </c>
    </row>
    <row r="50" ht="15.75">
      <c r="D50" s="6">
        <v>2.45</v>
      </c>
    </row>
    <row r="51" ht="15.75">
      <c r="D51" s="6">
        <v>3.35</v>
      </c>
    </row>
    <row r="53" ht="15.75">
      <c r="D53" s="50">
        <f>SUM(D47:D52)</f>
        <v>13.680000000000001</v>
      </c>
    </row>
  </sheetData>
  <sheetProtection/>
  <mergeCells count="24">
    <mergeCell ref="A1:T1"/>
    <mergeCell ref="P4:P6"/>
    <mergeCell ref="Q4:Q6"/>
    <mergeCell ref="R4:R6"/>
    <mergeCell ref="S4:S6"/>
    <mergeCell ref="A2:T2"/>
    <mergeCell ref="A4:A6"/>
    <mergeCell ref="B4:B6"/>
    <mergeCell ref="C4:D4"/>
    <mergeCell ref="E4:F4"/>
    <mergeCell ref="T4:T6"/>
    <mergeCell ref="C5:C6"/>
    <mergeCell ref="M4:O5"/>
    <mergeCell ref="D5:D6"/>
    <mergeCell ref="E5:F5"/>
    <mergeCell ref="G5:H5"/>
    <mergeCell ref="J4:L5"/>
    <mergeCell ref="I4:I6"/>
    <mergeCell ref="M43:N43"/>
    <mergeCell ref="G4:H4"/>
    <mergeCell ref="A44:B44"/>
    <mergeCell ref="J44:K44"/>
    <mergeCell ref="M44:N44"/>
    <mergeCell ref="J43:K43"/>
  </mergeCells>
  <printOptions horizontalCentered="1"/>
  <pageMargins left="0.25" right="0.25" top="0.5" bottom="0.5" header="0.39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lEt'sgO!</dc:creator>
  <cp:keywords/>
  <dc:description/>
  <cp:lastModifiedBy>WINNER</cp:lastModifiedBy>
  <cp:lastPrinted>2019-09-10T02:51:53Z</cp:lastPrinted>
  <dcterms:created xsi:type="dcterms:W3CDTF">2010-05-12T03:00:13Z</dcterms:created>
  <dcterms:modified xsi:type="dcterms:W3CDTF">2019-09-16T09:09:19Z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