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726" activeTab="0"/>
  </bookViews>
  <sheets>
    <sheet name="Bieu 1 nông nghiệp" sheetId="1" r:id="rId1"/>
    <sheet name="BIEU 2 CONG NGHIEP" sheetId="2" r:id="rId2"/>
    <sheet name=" Bieu 3 LDVT" sheetId="3" r:id="rId3"/>
    <sheet name="Bieu 4 SN GĐT" sheetId="4" r:id="rId4"/>
    <sheet name="Y tế" sheetId="5" r:id="rId5"/>
    <sheet name=" Bieu 6 VHTTDL" sheetId="6" r:id="rId6"/>
    <sheet name="bieu 7 PTTH" sheetId="7" r:id="rId7"/>
    <sheet name="Bieu 8 Kinh tế tập thể" sheetId="8" r:id="rId8"/>
  </sheets>
  <externalReferences>
    <externalReference r:id="rId11"/>
  </externalReferences>
  <definedNames>
    <definedName name="_ftn1" localSheetId="4">'Y tế'!$L$78</definedName>
    <definedName name="_ftnref1" localSheetId="4">'Y tế'!$K$69</definedName>
    <definedName name="_xlnm.Print_Area" localSheetId="2">' Bieu 3 LDVT'!$A$1:$W$78</definedName>
    <definedName name="_xlnm.Print_Area" localSheetId="5">' Bieu 6 VHTTDL'!$A$1:$V$54</definedName>
    <definedName name="_xlnm.Print_Area" localSheetId="0">'Bieu 1 nông nghiệp'!$A$1:$V$90</definedName>
    <definedName name="_xlnm.Print_Area" localSheetId="1">'BIEU 2 CONG NGHIEP'!$A$1:$J$22</definedName>
    <definedName name="_xlnm.Print_Area" localSheetId="3">'Bieu 4 SN GĐT'!$A$1:$V$108</definedName>
    <definedName name="_xlnm.Print_Area" localSheetId="6">'bieu 7 PTTH'!$A$1:$K$58</definedName>
    <definedName name="_xlnm.Print_Area" localSheetId="7">'Bieu 8 Kinh tế tập thể'!$A$1:$K$30</definedName>
    <definedName name="_xlnm.Print_Area" localSheetId="4">'Y tế'!$A$1:$K$111</definedName>
    <definedName name="_xlnm.Print_Titles" localSheetId="2">' Bieu 3 LDVT'!$6:$8</definedName>
    <definedName name="_xlnm.Print_Titles" localSheetId="5">' Bieu 6 VHTTDL'!$4:$6</definedName>
    <definedName name="_xlnm.Print_Titles" localSheetId="0">'Bieu 1 nông nghiệp'!$5:$7</definedName>
    <definedName name="_xlnm.Print_Titles" localSheetId="3">'Bieu 4 SN GĐT'!$5:$7</definedName>
    <definedName name="_xlnm.Print_Titles" localSheetId="4">'Y tế'!$5:$7</definedName>
  </definedNames>
  <calcPr fullCalcOnLoad="1"/>
</workbook>
</file>

<file path=xl/comments3.xml><?xml version="1.0" encoding="utf-8"?>
<comments xmlns="http://schemas.openxmlformats.org/spreadsheetml/2006/main">
  <authors>
    <author>Windows User</author>
  </authors>
  <commentList>
    <comment ref="I7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900</t>
        </r>
      </text>
    </comment>
  </commentList>
</comments>
</file>

<file path=xl/comments5.xml><?xml version="1.0" encoding="utf-8"?>
<comments xmlns="http://schemas.openxmlformats.org/spreadsheetml/2006/main">
  <authors>
    <author>Smart</author>
  </authors>
  <commentList>
    <comment ref="B77" authorId="0">
      <text>
        <r>
          <rPr>
            <b/>
            <sz val="8"/>
            <rFont val="Tahoma"/>
            <family val="2"/>
          </rPr>
          <t>Smart:</t>
        </r>
        <r>
          <rPr>
            <sz val="8"/>
            <rFont val="Tahoma"/>
            <family val="2"/>
          </rPr>
          <t xml:space="preserve">
= tổng số sinh chia DSTB x1000</t>
        </r>
      </text>
    </comment>
    <comment ref="B78" authorId="0">
      <text>
        <r>
          <rPr>
            <b/>
            <sz val="8"/>
            <rFont val="Tahoma"/>
            <family val="2"/>
          </rPr>
          <t>Smart:</t>
        </r>
        <r>
          <rPr>
            <sz val="8"/>
            <rFont val="Tahoma"/>
            <family val="2"/>
          </rPr>
          <t xml:space="preserve">
= tổng sinh - tổng chết chia DSTB x1000</t>
        </r>
      </text>
    </comment>
    <comment ref="B79" authorId="0">
      <text>
        <r>
          <rPr>
            <b/>
            <sz val="8"/>
            <rFont val="Tahoma"/>
            <family val="2"/>
          </rPr>
          <t>Smart:</t>
        </r>
        <r>
          <rPr>
            <sz val="8"/>
            <rFont val="Tahoma"/>
            <family val="2"/>
          </rPr>
          <t xml:space="preserve">
= tỷ lệ sinh năm trước - tỷ lệ sinh năm sau</t>
        </r>
      </text>
    </comment>
    <comment ref="B80" authorId="0">
      <text>
        <r>
          <rPr>
            <b/>
            <sz val="8"/>
            <rFont val="Tahoma"/>
            <family val="2"/>
          </rPr>
          <t>Smart:</t>
        </r>
        <r>
          <rPr>
            <sz val="8"/>
            <rFont val="Tahoma"/>
            <family val="2"/>
          </rPr>
          <t xml:space="preserve">
= dân số năm sau - DS năm trước chia DS năm trước x100</t>
        </r>
      </text>
    </comment>
  </commentList>
</comments>
</file>

<file path=xl/sharedStrings.xml><?xml version="1.0" encoding="utf-8"?>
<sst xmlns="http://schemas.openxmlformats.org/spreadsheetml/2006/main" count="1387" uniqueCount="699">
  <si>
    <t xml:space="preserve"> Đơn vị tính</t>
  </si>
  <si>
    <t xml:space="preserve"> CHỈ TIÊU VỀ PHÁT TRIỂN LAO ĐỘNG VIỆC LÀM - BẢO VỆ TRẺ EM </t>
  </si>
  <si>
    <t>So sánh (%)</t>
  </si>
  <si>
    <t>Tổng số</t>
  </si>
  <si>
    <t>B</t>
  </si>
  <si>
    <t>TT</t>
  </si>
  <si>
    <t xml:space="preserve"> CHỈ TIÊU</t>
  </si>
  <si>
    <t>tính</t>
  </si>
  <si>
    <t xml:space="preserve"> Dân số trung bình</t>
  </si>
  <si>
    <t xml:space="preserve"> Người</t>
  </si>
  <si>
    <t xml:space="preserve">          - Dân số nông thôn</t>
  </si>
  <si>
    <t xml:space="preserve"> Lao động việc làm</t>
  </si>
  <si>
    <t xml:space="preserve">    Tỷ lệ so với dân số</t>
  </si>
  <si>
    <t>%</t>
  </si>
  <si>
    <t xml:space="preserve"> Số lao động chia theo khu vực</t>
  </si>
  <si>
    <t xml:space="preserve"> - Lao động khu vực thành thị</t>
  </si>
  <si>
    <t xml:space="preserve"> - Lao động khu vực nông thôn</t>
  </si>
  <si>
    <t xml:space="preserve">  Tỷ lệ so với lao động trong độ tuổi</t>
  </si>
  <si>
    <t xml:space="preserve">       Tr. đó: Nữ </t>
  </si>
  <si>
    <t xml:space="preserve">  Công nghiệp - Xây dựng</t>
  </si>
  <si>
    <t xml:space="preserve"> Nông nghiệp - Lâm nghiệp - Thủy sản</t>
  </si>
  <si>
    <t xml:space="preserve"> Thương mại - Dịch vụ</t>
  </si>
  <si>
    <t xml:space="preserve">       Trong đó: Nữ </t>
  </si>
  <si>
    <t xml:space="preserve"> Tỷ lệ thất nghiệp ở khu vực thành thị</t>
  </si>
  <si>
    <t xml:space="preserve">  Chăm sóc và bảo vệ trẻ em</t>
  </si>
  <si>
    <t>Trẻ em</t>
  </si>
  <si>
    <t xml:space="preserve"> Các vấn đề xã hội</t>
  </si>
  <si>
    <t xml:space="preserve"> Trật tự an toàn xã hội</t>
  </si>
  <si>
    <t xml:space="preserve"> Số người được cai nghiện</t>
  </si>
  <si>
    <t xml:space="preserve"> Xoá đói giảm nghèo</t>
  </si>
  <si>
    <t xml:space="preserve"> Tổng số hộ cuối năm</t>
  </si>
  <si>
    <t xml:space="preserve"> Hộ</t>
  </si>
  <si>
    <t xml:space="preserve"> Số hộ đói nghèo đầu kỳ theo chuẩn Quốc gia</t>
  </si>
  <si>
    <t xml:space="preserve"> Số hộ thoát nghèo</t>
  </si>
  <si>
    <t xml:space="preserve"> Tỷ lệ hộ nghèo</t>
  </si>
  <si>
    <t xml:space="preserve"> Đào tạo nghề xã hội</t>
  </si>
  <si>
    <t xml:space="preserve"> H/ viên</t>
  </si>
  <si>
    <t xml:space="preserve"> Hệ Trung cấp nghề</t>
  </si>
  <si>
    <t xml:space="preserve"> Hệ Cao đẳng nghề </t>
  </si>
  <si>
    <t xml:space="preserve">    Phân bổ chỉ tiêu đào tạo:</t>
  </si>
  <si>
    <t xml:space="preserve"> - Hệ Cao đẳng nghề</t>
  </si>
  <si>
    <t xml:space="preserve"> - Hệ Sơ cấp nghề và DN dưới 3 tháng</t>
  </si>
  <si>
    <t xml:space="preserve">  Cơ sở dạy nghề khác</t>
  </si>
  <si>
    <t>Số TT</t>
  </si>
  <si>
    <t>Đơn vị tính</t>
  </si>
  <si>
    <t>Thực hiện 2010</t>
  </si>
  <si>
    <t>Kế hoạch 2012</t>
  </si>
  <si>
    <t>Chia ra</t>
  </si>
  <si>
    <t>Chỉ tiêu</t>
  </si>
  <si>
    <t xml:space="preserve">Thực hiện 2011 </t>
  </si>
  <si>
    <t>Thành phố ĐBP</t>
  </si>
  <si>
    <t>H.Điện Biên</t>
  </si>
  <si>
    <t>Đ.Biên Đông</t>
  </si>
  <si>
    <t>Mường Lay</t>
  </si>
  <si>
    <t>Mường Chà</t>
  </si>
  <si>
    <t>Mường Nhé</t>
  </si>
  <si>
    <t>Mường Ảng</t>
  </si>
  <si>
    <t>Tuần Giáo</t>
  </si>
  <si>
    <t>Tủa Chùa</t>
  </si>
  <si>
    <t>Số học sinh có mặt đầu năm học</t>
  </si>
  <si>
    <t>H/Sinh</t>
  </si>
  <si>
    <t>Giáo dục mầm non</t>
  </si>
  <si>
    <t>- Số cháu vào nhà trẻ</t>
  </si>
  <si>
    <t>Cháu</t>
  </si>
  <si>
    <t xml:space="preserve">- Số học sinh mẫu giáo </t>
  </si>
  <si>
    <t>- Số trẻ 5 tuổi</t>
  </si>
  <si>
    <t>Trẻ</t>
  </si>
  <si>
    <t>- Tỷ lệ huy động trẻ ra lớp/dân số độ tuổi</t>
  </si>
  <si>
    <t>- Tỷ lệ trẻ mầm non là nữ</t>
  </si>
  <si>
    <t>- Tỷ lệ trẻ suy dinh dưỡng thể nhẹ cân</t>
  </si>
  <si>
    <t>- Tỷ lệ trẻ suy dinh dưỡng thể thấp còi</t>
  </si>
  <si>
    <t>-  Tỷ lệ huy động trẻ:  Từ 0-2 tuổi</t>
  </si>
  <si>
    <t xml:space="preserve">                    Từ  3-5 tuổi ra lớp</t>
  </si>
  <si>
    <t xml:space="preserve">                    5 tuổi ra lớp mẫu giáo</t>
  </si>
  <si>
    <t>Hệ phổ thông</t>
  </si>
  <si>
    <t>- Học sinh bán trú</t>
  </si>
  <si>
    <t>- Tỷ lệ học sinh nữ/tổng số học sinh</t>
  </si>
  <si>
    <t>- Tỷ lệ học sinh bỏ học</t>
  </si>
  <si>
    <t>- Tỷ lệ học sinh lưu ban</t>
  </si>
  <si>
    <t>Tiểu học</t>
  </si>
  <si>
    <t>- Tỷ lệ học sinh 6 tuổi học lớp 1</t>
  </si>
  <si>
    <t>- Tỷ lệ học sinh 6 tuổi vào lớp 1</t>
  </si>
  <si>
    <t>- Tỷ lệ học sinh 6-10 tuổi học</t>
  </si>
  <si>
    <t>0,1</t>
  </si>
  <si>
    <t xml:space="preserve">Trung học cơ sở </t>
  </si>
  <si>
    <t xml:space="preserve">- Tỷ lệ học sinh 11 tuổi học lớp 6 </t>
  </si>
  <si>
    <t xml:space="preserve">- Tỷ lệ học sinh 11 tuổi vào lớp 6 </t>
  </si>
  <si>
    <t>- Tỷ lệ học sinh 11-14 tuổi học THCS</t>
  </si>
  <si>
    <t>Trung học phổ thông</t>
  </si>
  <si>
    <t xml:space="preserve">- Tỷ lệ học sinh 15 tuổi vào lớp 10 </t>
  </si>
  <si>
    <t>- Tỷ lệ học sinh 15-18 tuổi học THPT</t>
  </si>
  <si>
    <t>"</t>
  </si>
  <si>
    <t xml:space="preserve">Trong đó: HS các trường DTNT </t>
  </si>
  <si>
    <t>Hệ bổ túc văn hóa</t>
  </si>
  <si>
    <t xml:space="preserve">Phổ cập giáo dục </t>
  </si>
  <si>
    <t xml:space="preserve">IV </t>
  </si>
  <si>
    <t xml:space="preserve"> Cơ sở vật chất trường học </t>
  </si>
  <si>
    <t>Trường</t>
  </si>
  <si>
    <t>Trường Mầm non</t>
  </si>
  <si>
    <t>Tr. đó:  Trường đạt chuẩn Quốc gia</t>
  </si>
  <si>
    <t>Các trường phổ thông</t>
  </si>
  <si>
    <t>Tr. đó: - Các trường PT DTNT tỉnh, huyện</t>
  </si>
  <si>
    <t xml:space="preserve">  - Tổng số trường đạt chuẩn Q.gia</t>
  </si>
  <si>
    <t xml:space="preserve"> Trường Tiểu học</t>
  </si>
  <si>
    <t>2.1. Trường Tiểu học</t>
  </si>
  <si>
    <t>Tr. đó:  - Trường đạt chuẩn Quốc gia</t>
  </si>
  <si>
    <t xml:space="preserve">   - Số trường PTDTBT</t>
  </si>
  <si>
    <t xml:space="preserve"> Trường THCS</t>
  </si>
  <si>
    <t>2.2. Trường THCS</t>
  </si>
  <si>
    <t>Trong đó: Trường đạt chuẩn Quốc gia</t>
  </si>
  <si>
    <t>Trong đó: trường đạt chuẩn Quốc gia</t>
  </si>
  <si>
    <t xml:space="preserve"> Trường THPT</t>
  </si>
  <si>
    <t>2.3. Trường THPT</t>
  </si>
  <si>
    <t>Tr. đó: Trường đạt chuẩn Quốc gia</t>
  </si>
  <si>
    <t>Trung tâm GDTX huyện, tỉnh</t>
  </si>
  <si>
    <t xml:space="preserve">Đơn vị tính </t>
  </si>
  <si>
    <t>Chỉ tiêu hoạt động:</t>
  </si>
  <si>
    <t>%o</t>
  </si>
  <si>
    <t>Tỷ lệ trẻ sơ sinh dưới 2500 gr</t>
  </si>
  <si>
    <t>1/100.000</t>
  </si>
  <si>
    <t>Phong (BN phong mới phát hiện)</t>
  </si>
  <si>
    <t xml:space="preserve">Tâm thần </t>
  </si>
  <si>
    <t>Cơ sở cung cấp dịch vụ y tế</t>
  </si>
  <si>
    <t>Phòng khám đa khoa khu vực</t>
  </si>
  <si>
    <t>Đội y tế dự phòng</t>
  </si>
  <si>
    <t>Đội</t>
  </si>
  <si>
    <t>Đội Bảo vệ bà mẹ trẻ em - KHHGĐ</t>
  </si>
  <si>
    <t>Trạm</t>
  </si>
  <si>
    <t>Giường bệnh:</t>
  </si>
  <si>
    <t>Giường</t>
  </si>
  <si>
    <t>1/10.000</t>
  </si>
  <si>
    <t>Giường bệnh Bệnh viện huyện</t>
  </si>
  <si>
    <t>Giường bệnh trạm y tế xã (giường lưu)</t>
  </si>
  <si>
    <t>Nhân lực y tế:</t>
  </si>
  <si>
    <t>Tỷ lệ bản có Nhân viên y tế thôn bản</t>
  </si>
  <si>
    <t>V</t>
  </si>
  <si>
    <t>Xã</t>
  </si>
  <si>
    <t>VI</t>
  </si>
  <si>
    <t>Dân số - Kế hoạch hóa gia đình</t>
  </si>
  <si>
    <t>Dân số</t>
  </si>
  <si>
    <t>Dân số trung bình</t>
  </si>
  <si>
    <t>Người</t>
  </si>
  <si>
    <t xml:space="preserve"> - Tỷ lệ sinh</t>
  </si>
  <si>
    <t xml:space="preserve"> - Tỷ lệ phát triển dân số</t>
  </si>
  <si>
    <t>Dân số phân theo giới tính</t>
  </si>
  <si>
    <t xml:space="preserve"> - Dân số nam</t>
  </si>
  <si>
    <t xml:space="preserve">     Tỷ lệ so với tổng dân số</t>
  </si>
  <si>
    <t xml:space="preserve"> - Dân số nữ</t>
  </si>
  <si>
    <t xml:space="preserve">    Tỷ lệ so với tổng dân số</t>
  </si>
  <si>
    <t>Dân số phân theo thành thị, nông thôn</t>
  </si>
  <si>
    <t xml:space="preserve"> - Dân số thành thị</t>
  </si>
  <si>
    <t xml:space="preserve"> - Dân số nông thôn</t>
  </si>
  <si>
    <t>Kế hoạch hóa gia đình:</t>
  </si>
  <si>
    <t xml:space="preserve"> - Tỷ lệ nữ từ 15 - 49 tuổi so với dân số</t>
  </si>
  <si>
    <t xml:space="preserve"> - Tỷ lệ các cặp vợ chồng thực hiện các biện pháp tránh thai</t>
  </si>
  <si>
    <t xml:space="preserve"> - Tỷ lệ các bà mẹ sinh con thứ 3 trở lên so với tổng số bà mẹ sinh con trong năm</t>
  </si>
  <si>
    <t xml:space="preserve"> Chỉ tiêu hoạt động</t>
  </si>
  <si>
    <t>Đơn vị</t>
  </si>
  <si>
    <t>Di tích</t>
  </si>
  <si>
    <t>Tỷ đồng</t>
  </si>
  <si>
    <t>Thể thao quần chúng</t>
  </si>
  <si>
    <t>Thể thao thành tích cao</t>
  </si>
  <si>
    <t xml:space="preserve">Trong đó: </t>
  </si>
  <si>
    <t>Tỷ lệ  xã, phường, thị trấn xây dựng kế hoạch công tác gia đình và phòng chống bạo lực gia đình;</t>
  </si>
  <si>
    <t>Hộ</t>
  </si>
  <si>
    <t xml:space="preserve"> - Tổng số trường PTDTBT</t>
  </si>
  <si>
    <t>CHỈ TIÊU</t>
  </si>
  <si>
    <t>I</t>
  </si>
  <si>
    <t xml:space="preserve"> </t>
  </si>
  <si>
    <t>a</t>
  </si>
  <si>
    <t>b</t>
  </si>
  <si>
    <t>c</t>
  </si>
  <si>
    <t>II</t>
  </si>
  <si>
    <t>III</t>
  </si>
  <si>
    <t>IV</t>
  </si>
  <si>
    <t>*</t>
  </si>
  <si>
    <t xml:space="preserve"> Trường Trung cấp nghề tỉnh</t>
  </si>
  <si>
    <t xml:space="preserve"> - Hệ Trung cấp nghề</t>
  </si>
  <si>
    <t>A</t>
  </si>
  <si>
    <t>C</t>
  </si>
  <si>
    <t xml:space="preserve"> Trung tâm dạy nghề huyện</t>
  </si>
  <si>
    <t>S
TT</t>
  </si>
  <si>
    <t>ĐVT</t>
  </si>
  <si>
    <t>Trong đó</t>
  </si>
  <si>
    <t>Xá Nhè</t>
  </si>
  <si>
    <t>Tấn</t>
  </si>
  <si>
    <t>Ha</t>
  </si>
  <si>
    <t>T/ha</t>
  </si>
  <si>
    <t>Diện tích</t>
  </si>
  <si>
    <t>Năng xuất</t>
  </si>
  <si>
    <t>Sản lượng</t>
  </si>
  <si>
    <t>Lúa mùa</t>
  </si>
  <si>
    <t>Cây công nghiệp</t>
  </si>
  <si>
    <t>Cây CN ngắn ngày</t>
  </si>
  <si>
    <t>Sắn</t>
  </si>
  <si>
    <t>Khoai</t>
  </si>
  <si>
    <t>Bông</t>
  </si>
  <si>
    <t>Lạc</t>
  </si>
  <si>
    <t>Sản lượng búp tươi</t>
  </si>
  <si>
    <t>Chăn nuôi</t>
  </si>
  <si>
    <t>Đàn trâu</t>
  </si>
  <si>
    <t>Con</t>
  </si>
  <si>
    <t>Đàn bò</t>
  </si>
  <si>
    <t>Đàn lợn</t>
  </si>
  <si>
    <t>Đàn dê</t>
  </si>
  <si>
    <t xml:space="preserve">Thủy sản: </t>
  </si>
  <si>
    <t>Diện tích nuôi trồng</t>
  </si>
  <si>
    <t>Sản lượng nuôi trồng</t>
  </si>
  <si>
    <t>Sản lượng khai thác</t>
  </si>
  <si>
    <t>Lâm nghiệp</t>
  </si>
  <si>
    <t>Độ che phủ rừng</t>
  </si>
  <si>
    <t>1.1</t>
  </si>
  <si>
    <t>1.2</t>
  </si>
  <si>
    <t>Công nghiệp</t>
  </si>
  <si>
    <t>Vận tải hành khách</t>
  </si>
  <si>
    <t>Hành khách vận chuyển</t>
  </si>
  <si>
    <t>Hành khách luân chuyển</t>
  </si>
  <si>
    <t>Vận tải hàng hóa</t>
  </si>
  <si>
    <t>Hàng hóa vận chuyển</t>
  </si>
  <si>
    <t>Hàng hóa luân chuyển</t>
  </si>
  <si>
    <t>Trường cao đẳng nghề tỉnh</t>
  </si>
  <si>
    <t>Dạy nghề cho nông dân</t>
  </si>
  <si>
    <t>Số hộ cận nghèo</t>
  </si>
  <si>
    <t>Đá xây dựng</t>
  </si>
  <si>
    <t xml:space="preserve"> T đó. Nữ</t>
  </si>
  <si>
    <t xml:space="preserve">          - Dân số thành thị</t>
  </si>
  <si>
    <t xml:space="preserve"> Số TT</t>
  </si>
  <si>
    <t>Lĩnh vực gia đình</t>
  </si>
  <si>
    <t xml:space="preserve">Tỷ lệ thôn, bản, tổ dân phố có câu lạc bộ gia đình phát triển bền vững </t>
  </si>
  <si>
    <t>Tỷ lệ gia đình được tuyên truyền phổ biến các luật có liên quan đến lĩnh vực gia đình</t>
  </si>
  <si>
    <t>3</t>
  </si>
  <si>
    <t>4</t>
  </si>
  <si>
    <t>Bảo tồn di sản văn hóa</t>
  </si>
  <si>
    <t>Số di tích được xếp hạng đến cuối kỳ báo cáo</t>
  </si>
  <si>
    <t>1</t>
  </si>
  <si>
    <t>Gia đình</t>
  </si>
  <si>
    <t>Số câu lạc bộ thể thao cơ sở</t>
  </si>
  <si>
    <t>Lớp</t>
  </si>
  <si>
    <t>2</t>
  </si>
  <si>
    <t>Giải</t>
  </si>
  <si>
    <t>6</t>
  </si>
  <si>
    <t>Tỷ lệ người tham gia luyện tập thường xuyên  ít nhất 01 môn thể thao trong tổng dân số toàn huyện</t>
  </si>
  <si>
    <t xml:space="preserve">Năng xuất </t>
  </si>
  <si>
    <t>Lúa nương</t>
  </si>
  <si>
    <t>- Tổng số lớp</t>
  </si>
  <si>
    <t>1000m3</t>
  </si>
  <si>
    <t>Trong đó: - Tuyển mới</t>
  </si>
  <si>
    <t>- Đào tạo liên thông từ trung cấp lên cao đẳng</t>
  </si>
  <si>
    <t xml:space="preserve"> Hệ Sơ cấp nghề và dạy nghề dưới 3 tháng</t>
  </si>
  <si>
    <t>Cơ quan</t>
  </si>
  <si>
    <t>Tỷ lệ thôn, bản có sân bóng đá mi ni</t>
  </si>
  <si>
    <t>PHÁT TRIỂN DOANH NGHIỆP</t>
  </si>
  <si>
    <t>PHÁT TRIỂN KINH TẾ TẬP THỂ</t>
  </si>
  <si>
    <t>HTX</t>
  </si>
  <si>
    <t>người</t>
  </si>
  <si>
    <t>- Tổng doanh thu hợp tác xã</t>
  </si>
  <si>
    <t>Triệu đồng</t>
  </si>
  <si>
    <t>Trong đó: doanh thu cung ứng cho xã viên</t>
  </si>
  <si>
    <t>- Tổng số lãi trước thuế của hợp tác xã</t>
  </si>
  <si>
    <t xml:space="preserve">              + Số có trình độ Đại học trở lên</t>
  </si>
  <si>
    <t>- Thu nhập bình quân một lao động của HTX</t>
  </si>
  <si>
    <t>PHÁT TRIỂN KINH TẾ TƯ NHÂN</t>
  </si>
  <si>
    <t>Trong đó: Đăng ký mới</t>
  </si>
  <si>
    <t>Gạch xây</t>
  </si>
  <si>
    <t>Tổng số trẻ mầm non</t>
  </si>
  <si>
    <t>Tổng số lớp và nhóm trẻ</t>
  </si>
  <si>
    <t>- Số nhóm trẻ</t>
  </si>
  <si>
    <t>- Số lớp mẫu giáo</t>
  </si>
  <si>
    <t>- Số lớp 5 tuổi</t>
  </si>
  <si>
    <t>Nhóm</t>
  </si>
  <si>
    <t>Các tỷ lệ huy động</t>
  </si>
  <si>
    <t>Tổng số học sinh</t>
  </si>
  <si>
    <t>So sánh %</t>
  </si>
  <si>
    <t>Lúa  Đông Xuân</t>
  </si>
  <si>
    <t>Đàn gia cầm</t>
  </si>
  <si>
    <t>Huyện</t>
  </si>
  <si>
    <t>Thôn, bản</t>
  </si>
  <si>
    <t>Số
TT</t>
  </si>
  <si>
    <t>Nông nghiệp</t>
  </si>
  <si>
    <t>Sản xuất cây lương thực</t>
  </si>
  <si>
    <t>Cây ngô</t>
  </si>
  <si>
    <t>Cây lúa</t>
  </si>
  <si>
    <t>Tổng sản lượng thủy sản</t>
  </si>
  <si>
    <t>Cây phong trào phân tán</t>
  </si>
  <si>
    <t>Nước máy sản xuất</t>
  </si>
  <si>
    <t>Thương mại</t>
  </si>
  <si>
    <t>Vận tải</t>
  </si>
  <si>
    <t xml:space="preserve">  - Tr. đó: Lực lượng lao động là nữ</t>
  </si>
  <si>
    <t>+ Trong đó: Dạy nghề cho nông dân</t>
  </si>
  <si>
    <t xml:space="preserve"> - Trung cấp nghề (liên kết đào tạo không bố trí kinh phí)</t>
  </si>
  <si>
    <t xml:space="preserve"> Số người lạm dụng ma tuý (có hồ sơ quản lý)</t>
  </si>
  <si>
    <t xml:space="preserve">Trong đó </t>
  </si>
  <si>
    <t>Tỷ lệ hộ cận nghèo</t>
  </si>
  <si>
    <t xml:space="preserve"> Cây</t>
  </si>
  <si>
    <t>* Hệ trung cấp nghề</t>
  </si>
  <si>
    <t>* Hệ cao đẳng nghề:</t>
  </si>
  <si>
    <t>* Sơ cấp nghề và dạy nghề dưới 3 tháng</t>
  </si>
  <si>
    <t>Số xã đạt chuẩn xóa mù chữ mức độ 2</t>
  </si>
  <si>
    <t>Bưu chính viễn thông</t>
  </si>
  <si>
    <t>Bưu chính</t>
  </si>
  <si>
    <t>Số xã có điểm bưu điện văn hóa xã</t>
  </si>
  <si>
    <t>Tỷ lệ xã có điểm bưu điện văn hóa xã</t>
  </si>
  <si>
    <t>Số dân phục vụ bình quân</t>
  </si>
  <si>
    <t>Bán kính phục vụ bình quân</t>
  </si>
  <si>
    <t>Km/điểm</t>
  </si>
  <si>
    <t>Viễn Thông</t>
  </si>
  <si>
    <t>Thuê bao</t>
  </si>
  <si>
    <t>Số thuê bao điện thoại trung bình 100 dân</t>
  </si>
  <si>
    <t>Máy</t>
  </si>
  <si>
    <t>Số trạm thu phát sóng thông tin di độngBTS)</t>
  </si>
  <si>
    <t>Internet</t>
  </si>
  <si>
    <t>Số thuê bao internet trung bình 100 dân</t>
  </si>
  <si>
    <t>Lĩnh vực văn hóa gia đình</t>
  </si>
  <si>
    <t>Ngô xuân</t>
  </si>
  <si>
    <t>Ngô hè thu</t>
  </si>
  <si>
    <t xml:space="preserve"> Tổng số trẻ em có hoàn cảnh đặc biệt</t>
  </si>
  <si>
    <t>Trẻ em mồ côi được nuôi dưỡng tại Làng trẻ em SOS Điện Biên Phủ</t>
  </si>
  <si>
    <t>Số người được điều trị Methadone</t>
  </si>
  <si>
    <t>Ngộ độc thực phẩm</t>
  </si>
  <si>
    <t xml:space="preserve">Tổng số </t>
  </si>
  <si>
    <t>Tr. đó: - Trường PT DTNT huyện</t>
  </si>
  <si>
    <t>Cây Chè</t>
  </si>
  <si>
    <t>VII</t>
  </si>
  <si>
    <t xml:space="preserve">Số thuê bao intrnet </t>
  </si>
  <si>
    <t>Thị Trấn</t>
  </si>
  <si>
    <t>Mường 
Báng</t>
  </si>
  <si>
    <t>Sính 
Phình</t>
  </si>
  <si>
    <t>Tủa 
Thàng</t>
  </si>
  <si>
    <t>Trung 
Thu</t>
  </si>
  <si>
    <t>Tả Phìn</t>
  </si>
  <si>
    <t>Lao Sả
 Phình</t>
  </si>
  <si>
    <t>Tả Sìn
 Thàng</t>
  </si>
  <si>
    <t>Sín Chải</t>
  </si>
  <si>
    <t>Huổi Só</t>
  </si>
  <si>
    <t>Cây lương thực khác</t>
  </si>
  <si>
    <t>Sản lượng chè thương phẩm</t>
  </si>
  <si>
    <t>Đàn ngựa</t>
  </si>
  <si>
    <t>-</t>
  </si>
  <si>
    <t>Khoanh nuôi tái sinh năm đầu</t>
  </si>
  <si>
    <t>Khoanh nuôi tái sinh chuyển tiếp</t>
  </si>
  <si>
    <t>Trong đó: - Sản lượng thóc</t>
  </si>
  <si>
    <t>Sản lượng thóc ruộng</t>
  </si>
  <si>
    <t>Cơ cấu thóc ruộng trong tổng sản lượng</t>
  </si>
  <si>
    <t>Tổng diện tích cây lương thực có hạt</t>
  </si>
  <si>
    <t>Tổng sản lượng lương thực có hạt</t>
  </si>
  <si>
    <t>Sản Lượng</t>
  </si>
  <si>
    <t xml:space="preserve">Năng suất </t>
  </si>
  <si>
    <t>Thực hiện
6 tháng</t>
  </si>
  <si>
    <t>Triệu viên</t>
  </si>
  <si>
    <t>Triệu m3</t>
  </si>
  <si>
    <t>Nghìn Người</t>
  </si>
  <si>
    <t>Nghìn tấn</t>
  </si>
  <si>
    <t>Nghìn tấn.km</t>
  </si>
  <si>
    <t>Ước thực hiện
cả năm</t>
  </si>
  <si>
    <t>Thực hiện 
6 tháng</t>
  </si>
  <si>
    <t>- Tỷ lệ  xã, thị trấn đạt tiêu chuẩn phù hợp với trẻ em</t>
  </si>
  <si>
    <t>Số trẻ em không nơi nương tựa được nhận nuôi dưỡng tại cộng đồng</t>
  </si>
  <si>
    <t>Số vụ bạo hành trẻ em được phát hiện</t>
  </si>
  <si>
    <t>Số cán bộ làm công tác bảo vệ trẻ em/cán bộ công tác xã hội các cấp tham gia quản lý trường hợp</t>
  </si>
  <si>
    <t>III.1</t>
  </si>
  <si>
    <t>Số hộ tái nghèo, phát sinh nghèo</t>
  </si>
  <si>
    <t>Tỷ lệ hộ nghèo dân tộc thiểu số</t>
  </si>
  <si>
    <t>III.2</t>
  </si>
  <si>
    <t>III.3</t>
  </si>
  <si>
    <t xml:space="preserve"> Bảo hiểm xã hội</t>
  </si>
  <si>
    <t>Đối tượng thuộc diện tham gia BHXH bắt buộc</t>
  </si>
  <si>
    <t>Số người tham gia BHXH bắt buộc</t>
  </si>
  <si>
    <t xml:space="preserve"> - Tỷ lệ tham gia BHXH bắt buộc</t>
  </si>
  <si>
    <t>Đối tượng thuộc diện tham gia BHXH thất nghiệp</t>
  </si>
  <si>
    <t>Số người tham gia BHXH thất nghiệp</t>
  </si>
  <si>
    <t>- Tỷ lệ tham gia BHXH thất nghiệp</t>
  </si>
  <si>
    <t>Đối tượng thuộc diện tham gia BHXH tự nguyện</t>
  </si>
  <si>
    <t>- Tỷ lệ tham gia BHXH tự nguyện</t>
  </si>
  <si>
    <t>Trung tâm Giáo dục nghề nghiệp - Giáo dục thường xuyên huyện</t>
  </si>
  <si>
    <t>Phát triển trẻ thơ</t>
  </si>
  <si>
    <t>Số cán bộ quản lý, giáo viên, nhân viên mầm non được tập huấn về tư vấn dinh dưỡng và tâm lý cho trẻ</t>
  </si>
  <si>
    <t>Số nhân viên nấu ăn có chứng chỉ nghề nấu ăn</t>
  </si>
  <si>
    <t>Số điểm trường mầm non có nhà vệ sinh hợp vệ sinh</t>
  </si>
  <si>
    <t>Điểm trường</t>
  </si>
  <si>
    <t>Số điểm trường mầm non có nguồn nước sử dụng hợp vệ sinh</t>
  </si>
  <si>
    <t>Số nhóm/lớp mầm non có đủ thiết bị, đồ dùng, đồ chơi tối thiểu theo quy định</t>
  </si>
  <si>
    <t>Số điểm trường mầm non có 05 loại đồ chơi ngoài trời trở lên trong danh mục quy định</t>
  </si>
  <si>
    <t>Các chỉ tiêu phát triển thiên niên kỷ đối với đồng bào dân tộc thiểu số</t>
  </si>
  <si>
    <t>Tỷ lệ trẻ em DTTS nhập học đúng độ tuổi bậc tiểu học (%)</t>
  </si>
  <si>
    <t>Tỷ lệ người DTTS hoàn thành chương trình  tiểu học (%)</t>
  </si>
  <si>
    <t>Tỷ lệ người DTTS biết chữ  trong độ tuổi từ 15 tuổi đến 60 tuổi (%)</t>
  </si>
  <si>
    <t>Tỷ lệ nữ người DTTS biết chữ trong độ tuổi từ 15 đến 60 tuổi (%)</t>
  </si>
  <si>
    <t>Tỷ lệ học sinh nữ DTTS ở cấp tiểu học, trung học cơ sở, trung học phổ thông (%)</t>
  </si>
  <si>
    <t xml:space="preserve"> Tỷ lệ trẻ nhỏ được bú mẹ hoàn toàn trong 6 tháng đầu</t>
  </si>
  <si>
    <t>Tỷ lệ Bướu cổ trẻ em từ 8 - 10 tuổi</t>
  </si>
  <si>
    <t>Tỷ lệ hộ gia đình sử dụng nhà tiêu vệ sinh hợp vệ sinh</t>
  </si>
  <si>
    <t xml:space="preserve"> Tỷ lệ mắc một số bệnh xã hội/dân số:</t>
  </si>
  <si>
    <t xml:space="preserve">Tỷ lệ nhiễm HIV ở nhóm dân số DTTS 15-24 tuổi </t>
  </si>
  <si>
    <t>Trạm y tế xã, thị trấn</t>
  </si>
  <si>
    <t>Tỷ lệ xã, thị trấn có trạm y tế</t>
  </si>
  <si>
    <t xml:space="preserve">Tổng số giường bệnh toàn huyện </t>
  </si>
  <si>
    <t>Trong đó: Giường Quốc lập</t>
  </si>
  <si>
    <t>Tỷ lệ giường bệnh Quốc lập/vạn dân</t>
  </si>
  <si>
    <t>Tỷ lệ Bác sỹ/vạn dân</t>
  </si>
  <si>
    <t>Tỷ lệ Dược sỹ đại học/vạn dân</t>
  </si>
  <si>
    <t>Tỷ lệ trạm y tế xã có bác sỹ hoạt động</t>
  </si>
  <si>
    <t>Bộ tiêu chí quố gia về Y tế xã</t>
  </si>
  <si>
    <t xml:space="preserve"> - Tỷ lệ dân số tăng tự nhiên</t>
  </si>
  <si>
    <t xml:space="preserve"> - Mức giảm tỷ lệ sinh</t>
  </si>
  <si>
    <t>- Tỷ số giới tính khi sinh</t>
  </si>
  <si>
    <t>Số bé 
trai/100 bé gái</t>
  </si>
  <si>
    <t>Số người dân tham gia Bảo hiểm Y tế</t>
  </si>
  <si>
    <t>Tỷ lệ người dân tham gia Bảo hiểm Y tế</t>
  </si>
  <si>
    <t>VIII</t>
  </si>
  <si>
    <t>Phòng chống HIV/ADS</t>
  </si>
  <si>
    <t>Tỷ lệ người nhiễm HIV có nhu cầu điều trị bằng thuốc ARV tiếp cận được thuốc ARV</t>
  </si>
  <si>
    <t xml:space="preserve">Giảm tỷ lệ nhiễm HIV của trẻ em sinh ra từ mẹ nhiễm HIV </t>
  </si>
  <si>
    <t>Số người người nghiện các chất dạng thuốc phiện được điều trị thay thế bằng thuốc Methadone</t>
  </si>
  <si>
    <t>IX</t>
  </si>
  <si>
    <t>Phát triển trẻ thơ toàn diện từ năm 2019</t>
  </si>
  <si>
    <t>Tỷ lệ trẻ 18 tháng tuổi tiêm sởi - rubella</t>
  </si>
  <si>
    <t>Tỷ lệ trẻ 18 tháng tuổi tiêm DPT mũi 4</t>
  </si>
  <si>
    <t>Tỷ lệ trẻ 1 - 5 tuổi tiêm viêm não 2 mũi cơ bản</t>
  </si>
  <si>
    <t>Tỷ lệ trẻ 2 - 5 tuổi tiêm viêm não mũi 3</t>
  </si>
  <si>
    <t>Tỷ lệ trẻ em &lt; 6 tuổi bị khuyết tật tại cộng đồng được phát hiện, can thiệp sớm</t>
  </si>
  <si>
    <t>Tỷ lệ phụ nữ đẻ tại cơ sở y tế</t>
  </si>
  <si>
    <t>Tỷ lệ bà mẹ và trẻ sơ sinh được nhân viên y tế chăm sóc tuần đầu sau sinh</t>
  </si>
  <si>
    <t>Trung tâm y tế  huyện</t>
  </si>
  <si>
    <t>Trung tâm</t>
  </si>
  <si>
    <t>Phòng khám</t>
  </si>
  <si>
    <t>Số trung tâm VH-TT cấp huyện</t>
  </si>
  <si>
    <t>Phát triển thiết chế văn hóa, thể thao cơ sở</t>
  </si>
  <si>
    <t>Sân bóng đá mi ni tại thôn bản, tổ dân phố</t>
  </si>
  <si>
    <t>Lượt người</t>
  </si>
  <si>
    <t xml:space="preserve"> Trong đó, lượt khách quốc tế</t>
  </si>
  <si>
    <t>Số thuê bao điện thoại cố định</t>
  </si>
  <si>
    <t>Số thuê bao điện thoại di động</t>
  </si>
  <si>
    <t>Phát thanh, truyền hình, công nghệ thông tin</t>
  </si>
  <si>
    <t>Phát thanh</t>
  </si>
  <si>
    <t>Số giờ phát, tiếp sóng phát thanh địa phương</t>
  </si>
  <si>
    <t>Số Đài Truyền thanh không dây</t>
  </si>
  <si>
    <t>Số xã, thị trấn có Đài truyền thanh không dây</t>
  </si>
  <si>
    <t>Tỷ lệ xã,thị trấn có Đài truyền thanh không dây</t>
  </si>
  <si>
    <t>Số hộ nghe được Đài Tiếng nói Việt Nam</t>
  </si>
  <si>
    <t>Tỷ lệ hộ nghe được Đài Tiếng nói Việt Nam</t>
  </si>
  <si>
    <t>Số xã, thị trấn được phủ sóng truyền thanh địa phương</t>
  </si>
  <si>
    <t>Tỷ lệ xã, phường được phủ sóng truyền thanh địa phương</t>
  </si>
  <si>
    <t>Số hộ nghe được Đài phát thanh địa phương</t>
  </si>
  <si>
    <t>Tỷ lệ hộ nghe được đài phát thanh địa phương</t>
  </si>
  <si>
    <t xml:space="preserve"> Truyền hình </t>
  </si>
  <si>
    <t>Số hộ xem được Đài Truyền hình Việt Nam</t>
  </si>
  <si>
    <t>Tỷ lệ hộ xem được Đài Truyền hình Việt Nam</t>
  </si>
  <si>
    <t>Số xã, phường được phủ sóng truyền hình tỉnh</t>
  </si>
  <si>
    <t>Tỷ lệ xã, phường được phủ sóng truyền hình tỉnh</t>
  </si>
  <si>
    <t>Số hộ xem được đài truyền hình địa phương</t>
  </si>
  <si>
    <t>Tỷ lệ hộ xem được đài truyền hình địa phương</t>
  </si>
  <si>
    <t>Công nghệ thông tin</t>
  </si>
  <si>
    <t>Tổng số máy tính tại cơ quan, đơn vị (máy chủ, trạm, xách tay)</t>
  </si>
  <si>
    <t>Máy chủ</t>
  </si>
  <si>
    <t>Máy trạm</t>
  </si>
  <si>
    <t>Tỷ lệ cán bộ, công chức tại các cơ quan chuyên môn được trang bị máy tính</t>
  </si>
  <si>
    <t>- Cấp huyện</t>
  </si>
  <si>
    <t>- Cấp xã</t>
  </si>
  <si>
    <t>Tỷ lệ máy tính có kết nối Internet</t>
  </si>
  <si>
    <t>Tỷ lệ cán bộ, công chức được cấp và thường xuyên sử dụng phần mềm quản lý văn bản và điều hành</t>
  </si>
  <si>
    <t>Tỷ lệ cán bộ, công chức thường xuyên sử dụng thư điện tử trong công việc</t>
  </si>
  <si>
    <t>Số dịch vụ công trực tuyến được cung cấp</t>
  </si>
  <si>
    <t>Tỷ lệ dịch vụ công trực tuyến so với tổng số dịch vụ công</t>
  </si>
  <si>
    <t>Giờ/năm</t>
  </si>
  <si>
    <t>Đài</t>
  </si>
  <si>
    <t>Máy</t>
  </si>
  <si>
    <t>DVC trực tuyến</t>
  </si>
  <si>
    <t>Chi nhánh</t>
  </si>
  <si>
    <t>Số chi nhánh doanh nghiệp đang hoạt động</t>
  </si>
  <si>
    <t>Số doanh nghiệp tư nhân đang hoạt động</t>
  </si>
  <si>
    <t>Tổng số hợp tác xã</t>
  </si>
  <si>
    <t>Thành lập mới</t>
  </si>
  <si>
    <t>Tổng số xã viên hợp tác xã</t>
  </si>
  <si>
    <t>Xã viên mới</t>
  </si>
  <si>
    <t>Tổng số cán bộ quản lý hợp tác xã</t>
  </si>
  <si>
    <t>Tổng số lao động là xã viên HTX</t>
  </si>
  <si>
    <t>Số có trình độ trung cấp, cao đẳng</t>
  </si>
  <si>
    <t>Tổng số lao động làm việc trong HTX</t>
  </si>
  <si>
    <t>Nghìn người.km</t>
  </si>
  <si>
    <t xml:space="preserve"> Tỷ lệ phụ nữ có thai được tiêm phòng UV2+</t>
  </si>
  <si>
    <t>Mường 
Đun</t>
  </si>
  <si>
    <t>Mường Báng</t>
  </si>
  <si>
    <t>Tủa
Thàng</t>
  </si>
  <si>
    <t>Sính Phình</t>
  </si>
  <si>
    <t>Trung Thu</t>
  </si>
  <si>
    <t>Tả Sìn Thàng</t>
  </si>
  <si>
    <t>Tạ/ha</t>
  </si>
  <si>
    <t>Cây công nghiệp dài ngày</t>
  </si>
  <si>
    <t>Sản lượng 1 số sản phẩm công nghiệp  chủ yếu</t>
  </si>
  <si>
    <t>Tổng mức bán lẻ hàng hóa và dịch vụ  giá hiện hành</t>
  </si>
  <si>
    <t xml:space="preserve"> Lao động</t>
  </si>
  <si>
    <t xml:space="preserve"> Tổng số người trong độ tuổi  lao động</t>
  </si>
  <si>
    <t xml:space="preserve"> Lao động đang làm việc trong các ngành kinh tế quốc doanh</t>
  </si>
  <si>
    <t xml:space="preserve">  Tỷ lệ so với lực lượng lao động</t>
  </si>
  <si>
    <t xml:space="preserve">  Tỷ lệ so với lao động đang làm việc trong các ngành kinh tế quốc doanh</t>
  </si>
  <si>
    <t xml:space="preserve">  Số xã, thị trấn đạt tiêu chuẩn phù hợp với trẻ em</t>
  </si>
  <si>
    <t>Xã,
 thị trấn</t>
  </si>
  <si>
    <t xml:space="preserve"> Trẻ em mồ côi được nuôi dưỡng tại Trung tâm Bảo trợ xã hội tỉnh</t>
  </si>
  <si>
    <t>Đối tượng</t>
  </si>
  <si>
    <t xml:space="preserve"> Học viên</t>
  </si>
  <si>
    <t>Học viên</t>
  </si>
  <si>
    <t xml:space="preserve"> Tr. đó: Dạy nghề cho nông dân và người dân tộc thiểu số</t>
  </si>
  <si>
    <t>Tả
 Phìn</t>
  </si>
  <si>
    <t>Sín 
Chải</t>
  </si>
  <si>
    <t>Huổi 
Só</t>
  </si>
  <si>
    <t>Thị 
Trấn</t>
  </si>
  <si>
    <t>Mường
Báng</t>
  </si>
  <si>
    <t>Xá 
Nhè</t>
  </si>
  <si>
    <t>Mường
Đun</t>
  </si>
  <si>
    <t>Học sinh</t>
  </si>
  <si>
    <t xml:space="preserve">Tỷ suất tử vong trẻ em dân tộc thiểu số dưới 1 tuổi trên 1000 trẻ dân tộc thiểu số đẻ sống </t>
  </si>
  <si>
    <t>Tỷ suất tử vong trẻ em dưới 5 tuổi</t>
  </si>
  <si>
    <t xml:space="preserve">Tỷ suất tử vong trẻ em dân tộc thiểu số dưới 5 tuổi trên 1000 trẻ dân tộc thiểu số đẻ sống </t>
  </si>
  <si>
    <t>Tỷ lệ hộ gia đình dân tộc thiểu số sử dụng nhà tiêu vệ sinh hợp vệ sinh</t>
  </si>
  <si>
    <t>Tỷ lệ người dân tộc thiểu số mắc lao/100.000 dân dân tộc thiểu số</t>
  </si>
  <si>
    <t>Trung tâm Dân số - KHHGĐ huyện</t>
  </si>
  <si>
    <t xml:space="preserve"> Tỷ lệ gia đình đạt văn hóa chiếm trong tổng số gia đình toàn huyện</t>
  </si>
  <si>
    <t>Số thôn, bản đạt tiêu chuẩn văn hóa</t>
  </si>
  <si>
    <t>Tỷ lệ  thôn, bản,  đạt văn hóa chiếm trong tổng số thôn, bản  toàn huyện</t>
  </si>
  <si>
    <t xml:space="preserve">Số ban chỉ đạo mô hình phòng chống bạo lực gia đình được thành lập tại xã phường, thị trấn </t>
  </si>
  <si>
    <t>Ban chỉ đạo</t>
  </si>
  <si>
    <t xml:space="preserve">Số  câu lạc bộ gia đình phát triển bền vững tại các thôn, bản,tổ dân phố </t>
  </si>
  <si>
    <t>Câu lạc bộ</t>
  </si>
  <si>
    <t>Tỷ lệ xã, thị trấn có nhà văn hóa thông tin</t>
  </si>
  <si>
    <t>Câu 
lạc bộ</t>
  </si>
  <si>
    <t>Vận động viên</t>
  </si>
  <si>
    <t>Người/điểm</t>
  </si>
  <si>
    <t>Số xã, thị trấn có  trạm thu phát sóng thông tin di động 3G</t>
  </si>
  <si>
    <t>Số xã, thị trấn được kết nối in tenet băng rộng</t>
  </si>
  <si>
    <t>Tỷ lệ xã, thị trấn được kết nối in tenet băng rộng</t>
  </si>
  <si>
    <t>Tổng số giờ tiếp, phát sóng phát thanh trung ương</t>
  </si>
  <si>
    <t>Kế hoạch giao</t>
  </si>
  <si>
    <t>Kế
 hoạch giao</t>
  </si>
  <si>
    <t xml:space="preserve">
TT</t>
  </si>
  <si>
    <t>Huổi
 Só</t>
  </si>
  <si>
    <t xml:space="preserve">Khoanh nuôi tái sinh </t>
  </si>
  <si>
    <t xml:space="preserve"> Tr. đó: - Số lao động được tạo việc làm từ quỹ quốc gia hỗ trợ việc làm</t>
  </si>
  <si>
    <t xml:space="preserve">  - Tạo việc làm từ xuất khẩu lao động</t>
  </si>
  <si>
    <t xml:space="preserve">Tr đó: học sinh trường dân tộ nội trú huyện </t>
  </si>
  <si>
    <t>Số xã đạt chuẩn phổ cập giáo dục mầm non cho trẻ 5 tuổi</t>
  </si>
  <si>
    <t>Số xã đạt chuẩn phổ cập giáo dục tiểu học mức độ 2</t>
  </si>
  <si>
    <t>Số xã đạt chuẩn phổ cập giáo dục THCS mức độ 2</t>
  </si>
  <si>
    <t>Số xã đạt chuẩn phổ cập giáo dục THCS mức độ 3</t>
  </si>
  <si>
    <t>Tỷ lệ trẻ em dưới 5 tuổi suy dinh dưỡng (cân nặng/tuổi)</t>
  </si>
  <si>
    <t xml:space="preserve">Tỷ lệ suy dinh dưỡng cân nặng/tuổi ở trẻ em dân tộc thiểu số dưới 5 tuổi </t>
  </si>
  <si>
    <t>Tỷ lệ trẻ em dưới 5 tuổi suy dinh dưỡng thể thấp còi (chiều cao theo tuổi)</t>
  </si>
  <si>
    <t>Tỷ lệ lao các thể mới được phát hiện trong năm</t>
  </si>
  <si>
    <t>Thôn bản</t>
  </si>
  <si>
    <t>5</t>
  </si>
  <si>
    <t>Số trung tâm văn hóa - thông tin cấp huyện</t>
  </si>
  <si>
    <t xml:space="preserve"> Trong đó: Tham gia hội thi</t>
  </si>
  <si>
    <t xml:space="preserve">Số vận động viên được đào tạo </t>
  </si>
  <si>
    <t>Tổng số hộ đăng ký kinh doanh</t>
  </si>
  <si>
    <t>Tổng số vốn ĐKKD</t>
  </si>
  <si>
    <t>Bảo vệ rừng</t>
  </si>
  <si>
    <t>Lao Xả
 Phình</t>
  </si>
  <si>
    <t xml:space="preserve"> - Tổng số trường đạt chuẩn Quốc gia</t>
  </si>
  <si>
    <t>Phong trào toàn dân đoàn kết xây dựng đời sống văn hóa</t>
  </si>
  <si>
    <t>Số  người tham gia luyện tập thường xuyên  ít nhất 01 môn thể thao</t>
  </si>
  <si>
    <t>Tỷ suất tử vong trẻ em dưới 1 tuổi</t>
  </si>
  <si>
    <t>Tỷ lệ trẻ em dưới 1 tuổi tiêm chủng đầy đủ các loại Vắc xin</t>
  </si>
  <si>
    <t xml:space="preserve">Tỷ lệ các ca sinh của phụ nữ dân tộc thiểu số được cán bộ y tế đã qua đào tạo đỡ </t>
  </si>
  <si>
    <t xml:space="preserve">  Tr. đó: - Tỷ lệ lao động được đào tạo so với lực lượng lao động</t>
  </si>
  <si>
    <t>- Tỷ lệ huy động trẻ: Từ 03-36 tháng tuổi</t>
  </si>
  <si>
    <t>- Tỷ lệ học sinh 6-10 tuổi học tiểu học</t>
  </si>
  <si>
    <t>Giường bệnh phòng khám đa khoa khu vực</t>
  </si>
  <si>
    <t>Giường bệnh Trung tâm y tế huyện</t>
  </si>
  <si>
    <t>Xã đạt tiêu chí Quốc gia về y tế xã  2011-2020</t>
  </si>
  <si>
    <t>Tỷ lệ xã đạt tiêu chí Quốc gia về y tế   xã</t>
  </si>
  <si>
    <t xml:space="preserve"> - Tỷ lệ phụ nữ 15 - 49 tuổi có chồng</t>
  </si>
  <si>
    <t>Tỷ lệ xã có nữ hộ sinh hoặc y sỹ sản nhi</t>
  </si>
  <si>
    <t xml:space="preserve"> Tỷ lệ phụ nữ có thai được tư vấn và kiểm tra HIV</t>
  </si>
  <si>
    <t xml:space="preserve"> Tỷ lệ phụ nữ co thai nhiễm HIV nhận được thuốc  ARV/số phụ nữ mang thai nhiễm HIV toàn huyện</t>
  </si>
  <si>
    <t>Doanh 
nghiệp</t>
  </si>
  <si>
    <t>Lao Xả Phình</t>
  </si>
  <si>
    <t xml:space="preserve"> Tổng số lao động qua đào tạo</t>
  </si>
  <si>
    <t xml:space="preserve"> Tổng số trẻ em có hoàn cảnh đặc biệt khó khăn được hưởng trợ cấp tại cộng đồng</t>
  </si>
  <si>
    <t>xã, thị trấn</t>
  </si>
  <si>
    <t>Số xã đạt chuẩn phổ cập giáo dục tiểu học mức độ 3</t>
  </si>
  <si>
    <t>Trường đạt kiểm định chất lượng giáo dục</t>
  </si>
  <si>
    <t xml:space="preserve"> Tỷ lệ phụ nữ  đẻ được khám thai đủ 4 lần/3 kỳ thai nghén</t>
  </si>
  <si>
    <t>Tỷ lệ nhiễm HIV/AIDS còn sống</t>
  </si>
  <si>
    <t xml:space="preserve"> Số lượt khách đến tham quan các điểm di tích</t>
  </si>
  <si>
    <t>Giá trị sản xuất công nghiệp ( giá so sánh)</t>
  </si>
  <si>
    <t>Số vụ bạo hành trẻ em được sử lý</t>
  </si>
  <si>
    <t>Giáo dục phổ thông phổ thông</t>
  </si>
  <si>
    <t xml:space="preserve"> Giáo dục thường xuyên </t>
  </si>
  <si>
    <t>Bổ túc (Trung tâm GDNN-GDTX)</t>
  </si>
  <si>
    <t>Số lớp bổ túc THPT</t>
  </si>
  <si>
    <t>Học sinh bổ túc THPT</t>
  </si>
  <si>
    <t>Phổ cập giáo dục - Xóa mù chữ</t>
  </si>
  <si>
    <t>Tổng số xã, thị trấn</t>
  </si>
  <si>
    <t xml:space="preserve">V </t>
  </si>
  <si>
    <t xml:space="preserve"> Cơ sở vgiáo dục + Trung tâm</t>
  </si>
  <si>
    <t>Tỷ lệ phụ nữ dân tộc thiểu số được khám thai ít nhất 4 lần trong 3 kỳ thai nghén</t>
  </si>
  <si>
    <t>Tuyến huyện, xã</t>
  </si>
  <si>
    <t>Số gia đình đạt tiêu chuẩn văn hóa</t>
  </si>
  <si>
    <t>Số thị trấn đạt chuẩn văn minh đô thị</t>
  </si>
  <si>
    <t>Tỷ lệ thị trấn đạt văn minh đô thị</t>
  </si>
  <si>
    <t>Thị trấn</t>
  </si>
  <si>
    <t xml:space="preserve"> Huyện có nhà văn hóa, thể thao</t>
  </si>
  <si>
    <t xml:space="preserve"> Huyện có  thư viện </t>
  </si>
  <si>
    <t>Số xã, thị trấn có nhà văn hóa thể thao</t>
  </si>
  <si>
    <t>Số thôn bản, tổ dân phố có nhà văn hóa và điểm sinh hoạt cộng đồng</t>
  </si>
  <si>
    <t>Tỷ lệ thôn bản có nhà văn hóa và điểm sinh hoạt cộng đồng</t>
  </si>
  <si>
    <t>Lĩnh vực thể dục, thể thao</t>
  </si>
  <si>
    <t>Số  gia đình thể thao</t>
  </si>
  <si>
    <t>Tỷ lệ gia đình thể thao trong tổng số hộ gia đình toàn huyện</t>
  </si>
  <si>
    <t xml:space="preserve">Tham gia giải thi đấu thể dục thể thao </t>
  </si>
  <si>
    <t>Hội thi</t>
  </si>
  <si>
    <t>Tuyến năng khiếu</t>
  </si>
  <si>
    <t>Tuyến trẻ</t>
  </si>
  <si>
    <t>Tuyến tỉnh</t>
  </si>
  <si>
    <t>Số ngày lưu trú bình quân của khách du lịch</t>
  </si>
  <si>
    <t>Ngày</t>
  </si>
  <si>
    <t>Bản</t>
  </si>
  <si>
    <t>Số bản đủ tiêu chuẩn đón khách du lịch</t>
  </si>
  <si>
    <t>Số cơ quan, đơn vị, doanh nghiệp đạt tiêu chuẩn văn hóa</t>
  </si>
  <si>
    <t>Cây đậu đỗ các loại</t>
  </si>
  <si>
    <t>Lực lượng lao động từ 15 tuổi trở lên</t>
  </si>
  <si>
    <t xml:space="preserve">                   CHỈ TIÊU VỀ PHÁT TRIỂN SỰ NGHIỆP Y TẾ - NĂM 2023</t>
  </si>
  <si>
    <t>Ước thực hiện  
cả năm</t>
  </si>
  <si>
    <t>Tỷ lệ phụ nữ trong độ tuổi sinh đẻ (15-49 tuổi đang sử dụng biện pháp tránh thaui hiện đại)</t>
  </si>
  <si>
    <t>Biểu 04</t>
  </si>
  <si>
    <t>Biểu 02</t>
  </si>
  <si>
    <t>Biểu 01</t>
  </si>
  <si>
    <t>Biểu 03</t>
  </si>
  <si>
    <t>- Tỷ lệ huy động  trẻ từ 3-5 tuổi ra lớp</t>
  </si>
  <si>
    <t>- Tỷ lệ huy động  trẻ 5 tuổi ra lớp mẫu giáo</t>
  </si>
  <si>
    <t>Mường Đun</t>
  </si>
  <si>
    <t>CÁC CHỈ TIÊU PHÁT TRIỂN DOANH NGHIỆP VÀ KINH TẾ TẬP THỂ NĂM 2023</t>
  </si>
  <si>
    <t>Biểu số 8</t>
  </si>
  <si>
    <t>Biểu 07</t>
  </si>
  <si>
    <t xml:space="preserve"> Biểu 05</t>
  </si>
  <si>
    <t>Thực hiện 6 tháng</t>
  </si>
  <si>
    <t>Ước Thực hiện
cả năm</t>
  </si>
  <si>
    <t>Tỷ lệ cơ quan, đơn vị doanh nghiệp, trường học đạt văn hóa chiếm trong tổng số cơ quan, đơn vị, trường học  toàn huyện</t>
  </si>
  <si>
    <t>Ước thực hiện 
cả năm</t>
  </si>
  <si>
    <t xml:space="preserve"> Thực hiện năm 2022</t>
  </si>
  <si>
    <t>Năm 2023</t>
  </si>
  <si>
    <t>Kế hoạch năm 2024</t>
  </si>
  <si>
    <t>Ước thực hiện
 năm 2023 với thực hiện năm 2022</t>
  </si>
  <si>
    <t>Kế hoạch năm 2024 với thực hiện năm 2023</t>
  </si>
  <si>
    <t xml:space="preserve"> MỘT SỐ CHỈ TIÊU KINH TẾ CHỦ YẾU NĂM 2024 HUYỆN TỦA CHÙA</t>
  </si>
  <si>
    <t xml:space="preserve"> TH năm 2022</t>
  </si>
  <si>
    <t>Kế hoạch
 năm 2024</t>
  </si>
  <si>
    <t>Kế hoạch năm 2024 với  thực hiện năm 2023</t>
  </si>
  <si>
    <t xml:space="preserve"> CHỈ TIÊU SẢN XUẤT CÔNG NGHIỆP NĂM 2024 HUYỆN TỦA CHÙA</t>
  </si>
  <si>
    <t xml:space="preserve"> CÁC VẤN ĐỀ XÃ HỘI VÀ ĐÀO TẠO NGHỀ - NĂM 2024</t>
  </si>
  <si>
    <t>Số lao động được tạo việc làm mới trong năm</t>
  </si>
  <si>
    <t>CHỈ TIÊU VỀ PHÁT TRIỂN SỰ NGHIỆP GIÁO DỤC - NĂM HỌC 2024-2025</t>
  </si>
  <si>
    <t>Thực hiện năm học 2022-2023</t>
  </si>
  <si>
    <t>Năm học 2023-2024</t>
  </si>
  <si>
    <t>Kế hoạch năm học 2024-2025</t>
  </si>
  <si>
    <t>Ước thực hiện
 năm học 2023-2024 với thực hiện năm học 2022-2023</t>
  </si>
  <si>
    <t>Kế hoạch năm học 2024-2025 với ước thực hiện năm học 2023-2024</t>
  </si>
  <si>
    <t xml:space="preserve">Tổng số học sinh </t>
  </si>
  <si>
    <t>Trong đó học sinh bán trú</t>
  </si>
  <si>
    <t>Số xã đạt chuẩn phổ cập giáo dục tiểu học mức độ 1</t>
  </si>
  <si>
    <t>Số xã đạt chuẩn phổ cập giáo dục THCS mức độ 1</t>
  </si>
  <si>
    <t>8</t>
  </si>
  <si>
    <t>Số xã đạt chuẩn xóa mù chữ mức độ 1</t>
  </si>
  <si>
    <t>9</t>
  </si>
  <si>
    <t>Các trường Mầm non và phổ thông</t>
  </si>
  <si>
    <t>Thực hiện 2022</t>
  </si>
  <si>
    <t>Kế hoạch
2024</t>
  </si>
  <si>
    <t>Tỷ số tử vong mẹ /100.000 trẻ đẻ sống</t>
  </si>
  <si>
    <t>BM</t>
  </si>
  <si>
    <t>Tỷ số tử vong mẹ DTTS /100.000 trẻ DTTS đẻ sống</t>
  </si>
  <si>
    <t xml:space="preserve">Tỷ lệ suy dinh dưỡng thể thấp còi ở trẻ em dân tộc thiểu số dưới 5 tuổi </t>
  </si>
  <si>
    <t>Tỷ lệ dân số dùng muối Iốt và các chế phẩm chưa I ốt</t>
  </si>
  <si>
    <t>Uốn ván</t>
  </si>
  <si>
    <t>Sốt rét</t>
  </si>
  <si>
    <t>1/1.000</t>
  </si>
  <si>
    <t>Tỷ lệ người dân tộc thiểu số mắcsốt rét/100.000 dân dân tộc thiểu số</t>
  </si>
  <si>
    <t>Tỷ lệ mắc lao trong cộng đồng</t>
  </si>
  <si>
    <t>Phong lưu hành</t>
  </si>
  <si>
    <t>Thuốc tiêu dùng bình quân người/năm</t>
  </si>
  <si>
    <t>Đồng</t>
  </si>
  <si>
    <t>X</t>
  </si>
  <si>
    <t>Dân số được quả lý bằng hồ sơ sức khỏe điện tử</t>
  </si>
  <si>
    <t>Tử lệ dân số được quả lý bằng hồ sơ sức khỏe điện tử</t>
  </si>
  <si>
    <t>Thực hiện năm 2022</t>
  </si>
  <si>
    <t>Kế hoạch năm 2024 với ước thực hiện năm 2023</t>
  </si>
  <si>
    <t>CHỈ TIÊU VỀ PHÁT TRIỂN SỰ NGHIỆP PHÁT THANH TRUYỀN HÌNH - NĂM 2024</t>
  </si>
  <si>
    <t xml:space="preserve"> Trồng cây lâm sản ngoài gỗ</t>
  </si>
  <si>
    <t>ha</t>
  </si>
  <si>
    <t>Số người tham gia BHXH tự nguyện</t>
  </si>
  <si>
    <t>38,7</t>
  </si>
  <si>
    <t>Xã đạt tiêu chí quốc gia về y tế xã giai đoạn đến năm 2030 (theo QĐ 1300/QĐ-BYT ngày 09/3/2023)</t>
  </si>
  <si>
    <t>Tỷ lệ xã đạt tiêu chí quốc gia y tế  xã giai đoạn đến năm 2030</t>
  </si>
  <si>
    <t>43,8</t>
  </si>
  <si>
    <t>Kế hoạch  năm 2024</t>
  </si>
  <si>
    <t xml:space="preserve">Tỷ lệ xã, thị trấn có ban chỉ đạo mô hình phòng chống bạo lực gia đình </t>
  </si>
  <si>
    <t xml:space="preserve"> Số hộ đói nghèo cuối kỳ theo chuẩn Quốc gia </t>
  </si>
  <si>
    <t>Troông mới</t>
  </si>
  <si>
    <t>Cây</t>
  </si>
  <si>
    <t>(Kèm theo Kế hoạch số:              /KH-UBND ngày     /    /2023 của UBND huyện Tủa Chùa)</t>
  </si>
  <si>
    <t>Biểu 6                                                                                                    CHỈ TIÊU HƯỚNG DẪN VỀ PHÁT TRIỂN SỰ NGHIỆP VĂN HOÁ - DU LỊCH - THỂ THAO NĂM 2024</t>
  </si>
</sst>
</file>

<file path=xl/styles.xml><?xml version="1.0" encoding="utf-8"?>
<styleSheet xmlns="http://schemas.openxmlformats.org/spreadsheetml/2006/main">
  <numFmts count="4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\ _₫_-;\-* #,##0\ _₫_-;_-* &quot;-&quot;\ _₫_-;_-@_-"/>
    <numFmt numFmtId="165" formatCode="_-* #,##0.00\ _₫_-;\-* #,##0.00\ _₫_-;_-* &quot;-&quot;??\ _₫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_(* #,##0_);_(* \(#,##0\);_(* &quot;-&quot;??_);_(@_)"/>
    <numFmt numFmtId="176" formatCode="_(* #,##0.0_);_(* \(#,##0.0\);_(* &quot;-&quot;??_);_(@_)"/>
    <numFmt numFmtId="177" formatCode="0.0"/>
    <numFmt numFmtId="178" formatCode="_(* #,##0.0000_);_(* \(#,##0.0000\);_(* &quot;-&quot;??_);_(@_)"/>
    <numFmt numFmtId="179" formatCode="_(* #,##0.000_);_(* \(#,##0.000\);_(* &quot;-&quot;??_);_(@_)"/>
    <numFmt numFmtId="180" formatCode="_(* #,##0.0_);_(* \(#,##0.0\);_(* &quot;-&quot;?_);_(@_)"/>
    <numFmt numFmtId="181" formatCode="_(* #,##0_);_(* \(#,##0\);_(* &quot;-&quot;?_);_(@_)"/>
    <numFmt numFmtId="182" formatCode="0.000000"/>
    <numFmt numFmtId="183" formatCode="0.00000"/>
    <numFmt numFmtId="184" formatCode="0.0000"/>
    <numFmt numFmtId="185" formatCode="0.000"/>
    <numFmt numFmtId="186" formatCode="#,##0.0;[Red]#,##0.0"/>
    <numFmt numFmtId="187" formatCode="#,##0;[Red]#,##0"/>
    <numFmt numFmtId="188" formatCode="_-* #,##0.0\ _₫_-;\-* #,##0.0\ _₫_-;_-* &quot;-&quot;?\ _₫_-;_-@_-"/>
    <numFmt numFmtId="189" formatCode="0.00000000"/>
    <numFmt numFmtId="190" formatCode="0.0000000"/>
    <numFmt numFmtId="191" formatCode="_(* #,##0.00_);_(* \(#,##0.00\);_(* &quot;-&quot;?_);_(@_)"/>
    <numFmt numFmtId="192" formatCode="#,##0.000"/>
    <numFmt numFmtId="193" formatCode="#,##0.0000"/>
    <numFmt numFmtId="194" formatCode="#,##0.00000"/>
    <numFmt numFmtId="195" formatCode="#,##0.000000"/>
    <numFmt numFmtId="196" formatCode="&quot;Có&quot;;&quot;Có&quot;;&quot;Không&quot;"/>
    <numFmt numFmtId="197" formatCode="&quot;Đúng&quot;;&quot;Đúng&quot;;&quot;Sai&quot;"/>
    <numFmt numFmtId="198" formatCode="&quot;Bật&quot;;&quot;Bật&quot;;&quot;Tắt&quot;"/>
    <numFmt numFmtId="199" formatCode="[$€-2]\ #,##0.00_);[Red]\([$€-2]\ #,##0.00\)"/>
    <numFmt numFmtId="200" formatCode="_(* #,##0.00000_);_(* \(#,##0.00000\);_(* &quot;-&quot;??_);_(@_)"/>
    <numFmt numFmtId="201" formatCode="_(* #,##0.000000_);_(* \(#,##0.000000\);_(* &quot;-&quot;??_);_(@_)"/>
  </numFmts>
  <fonts count="115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i/>
      <sz val="11.5"/>
      <name val="Times New Roman"/>
      <family val="1"/>
    </font>
    <font>
      <sz val="12"/>
      <name val=".VnTime"/>
      <family val="2"/>
    </font>
    <font>
      <sz val="11.5"/>
      <name val=".VnTime"/>
      <family val="2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3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b/>
      <i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Times New Roman"/>
      <family val="1"/>
    </font>
    <font>
      <i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9"/>
      <color indexed="40"/>
      <name val="Times New Roman"/>
      <family val="1"/>
    </font>
    <font>
      <b/>
      <sz val="9"/>
      <color indexed="40"/>
      <name val="Arial"/>
      <family val="2"/>
    </font>
    <font>
      <sz val="9"/>
      <color indexed="40"/>
      <name val="Times New Roman"/>
      <family val="1"/>
    </font>
    <font>
      <sz val="9"/>
      <color indexed="40"/>
      <name val="Arial"/>
      <family val="2"/>
    </font>
    <font>
      <b/>
      <i/>
      <sz val="9"/>
      <color indexed="40"/>
      <name val="Times New Roman"/>
      <family val="1"/>
    </font>
    <font>
      <i/>
      <sz val="9"/>
      <color indexed="40"/>
      <name val="Arial"/>
      <family val="2"/>
    </font>
    <font>
      <sz val="9"/>
      <name val="Cambria"/>
      <family val="1"/>
    </font>
    <font>
      <sz val="11"/>
      <name val="Cambria"/>
      <family val="1"/>
    </font>
    <font>
      <sz val="13"/>
      <color indexed="10"/>
      <name val="Times New Roman"/>
      <family val="1"/>
    </font>
    <font>
      <sz val="10"/>
      <name val="MS Sans Serif"/>
      <family val="2"/>
    </font>
    <font>
      <sz val="12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9"/>
      <color rgb="FF00B0F0"/>
      <name val="Times New Roman"/>
      <family val="1"/>
    </font>
    <font>
      <b/>
      <sz val="9"/>
      <color rgb="FF00B0F0"/>
      <name val="Arial"/>
      <family val="2"/>
    </font>
    <font>
      <sz val="9"/>
      <color rgb="FF00B0F0"/>
      <name val="Arial"/>
      <family val="2"/>
    </font>
    <font>
      <sz val="9"/>
      <color rgb="FF00B0F0"/>
      <name val="Times New Roman"/>
      <family val="1"/>
    </font>
    <font>
      <b/>
      <i/>
      <sz val="9"/>
      <color rgb="FF00B0F0"/>
      <name val="Times New Roman"/>
      <family val="1"/>
    </font>
    <font>
      <i/>
      <sz val="9"/>
      <color rgb="FF00B0F0"/>
      <name val="Arial"/>
      <family val="2"/>
    </font>
    <font>
      <sz val="13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3" fillId="0" borderId="0">
      <alignment/>
      <protection/>
    </xf>
    <xf numFmtId="0" fontId="0" fillId="0" borderId="0">
      <alignment/>
      <protection/>
    </xf>
    <xf numFmtId="0" fontId="86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7" fillId="28" borderId="2" applyNumberFormat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971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87" applyFont="1" applyFill="1" applyAlignment="1">
      <alignment horizontal="center" vertical="center"/>
      <protection/>
    </xf>
    <xf numFmtId="0" fontId="23" fillId="0" borderId="0" xfId="87" applyFont="1" applyFill="1" applyAlignment="1">
      <alignment vertical="center"/>
      <protection/>
    </xf>
    <xf numFmtId="0" fontId="21" fillId="0" borderId="0" xfId="87" applyFont="1" applyFill="1">
      <alignment/>
      <protection/>
    </xf>
    <xf numFmtId="0" fontId="25" fillId="0" borderId="0" xfId="87" applyFont="1" applyFill="1">
      <alignment/>
      <protection/>
    </xf>
    <xf numFmtId="0" fontId="8" fillId="0" borderId="10" xfId="87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/>
    </xf>
    <xf numFmtId="0" fontId="8" fillId="0" borderId="10" xfId="87" applyFont="1" applyFill="1" applyBorder="1" applyAlignment="1">
      <alignment horizontal="center"/>
      <protection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33" borderId="0" xfId="0" applyFont="1" applyFill="1" applyAlignment="1">
      <alignment/>
    </xf>
    <xf numFmtId="0" fontId="1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3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178" fontId="1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176" fontId="30" fillId="0" borderId="0" xfId="46" applyNumberFormat="1" applyFont="1" applyFill="1" applyAlignment="1">
      <alignment/>
    </xf>
    <xf numFmtId="175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3" fontId="35" fillId="0" borderId="12" xfId="0" applyNumberFormat="1" applyFont="1" applyFill="1" applyBorder="1" applyAlignment="1">
      <alignment horizontal="right"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174" fontId="3" fillId="0" borderId="12" xfId="0" applyNumberFormat="1" applyFont="1" applyFill="1" applyBorder="1" applyAlignment="1">
      <alignment horizontal="center" vertical="center"/>
    </xf>
    <xf numFmtId="178" fontId="18" fillId="0" borderId="0" xfId="0" applyNumberFormat="1" applyFont="1" applyFill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35" fillId="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8" fillId="0" borderId="0" xfId="87" applyFont="1" applyFill="1" applyAlignment="1">
      <alignment vertical="center"/>
      <protection/>
    </xf>
    <xf numFmtId="0" fontId="39" fillId="0" borderId="0" xfId="87" applyFont="1" applyFill="1" applyAlignment="1">
      <alignment vertical="center"/>
      <protection/>
    </xf>
    <xf numFmtId="175" fontId="39" fillId="0" borderId="0" xfId="87" applyNumberFormat="1" applyFont="1" applyFill="1" applyAlignment="1">
      <alignment vertical="center"/>
      <protection/>
    </xf>
    <xf numFmtId="0" fontId="34" fillId="0" borderId="10" xfId="87" applyFont="1" applyFill="1" applyBorder="1" applyAlignment="1">
      <alignment vertical="center"/>
      <protection/>
    </xf>
    <xf numFmtId="0" fontId="34" fillId="0" borderId="10" xfId="87" applyFont="1" applyFill="1" applyBorder="1" applyAlignment="1">
      <alignment horizontal="center" vertical="center"/>
      <protection/>
    </xf>
    <xf numFmtId="176" fontId="34" fillId="0" borderId="10" xfId="46" applyNumberFormat="1" applyFont="1" applyFill="1" applyBorder="1" applyAlignment="1">
      <alignment horizontal="right"/>
    </xf>
    <xf numFmtId="175" fontId="38" fillId="0" borderId="0" xfId="87" applyNumberFormat="1" applyFont="1" applyFill="1" applyAlignment="1">
      <alignment vertical="center"/>
      <protection/>
    </xf>
    <xf numFmtId="0" fontId="39" fillId="0" borderId="0" xfId="0" applyFont="1" applyFill="1" applyAlignment="1">
      <alignment/>
    </xf>
    <xf numFmtId="0" fontId="40" fillId="0" borderId="0" xfId="87" applyFont="1" applyFill="1" applyAlignment="1">
      <alignment vertical="center"/>
      <protection/>
    </xf>
    <xf numFmtId="0" fontId="41" fillId="0" borderId="0" xfId="87" applyFont="1" applyFill="1" applyAlignment="1">
      <alignment vertical="center"/>
      <protection/>
    </xf>
    <xf numFmtId="0" fontId="38" fillId="0" borderId="10" xfId="87" applyFont="1" applyFill="1" applyBorder="1" applyAlignment="1">
      <alignment/>
      <protection/>
    </xf>
    <xf numFmtId="49" fontId="38" fillId="0" borderId="10" xfId="87" applyNumberFormat="1" applyFont="1" applyFill="1" applyBorder="1" applyAlignment="1">
      <alignment/>
      <protection/>
    </xf>
    <xf numFmtId="174" fontId="2" fillId="0" borderId="13" xfId="0" applyNumberFormat="1" applyFont="1" applyFill="1" applyBorder="1" applyAlignment="1">
      <alignment horizontal="center" vertical="center"/>
    </xf>
    <xf numFmtId="174" fontId="2" fillId="0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/>
    </xf>
    <xf numFmtId="3" fontId="35" fillId="0" borderId="12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right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75" fontId="3" fillId="0" borderId="10" xfId="0" applyNumberFormat="1" applyFont="1" applyFill="1" applyBorder="1" applyAlignment="1" applyProtection="1">
      <alignment horizontal="right" vertical="center" wrapText="1"/>
      <protection/>
    </xf>
    <xf numFmtId="177" fontId="3" fillId="0" borderId="10" xfId="0" applyNumberFormat="1" applyFont="1" applyFill="1" applyBorder="1" applyAlignment="1" applyProtection="1">
      <alignment horizontal="right" vertical="center" wrapText="1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34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34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3" fontId="9" fillId="34" borderId="10" xfId="0" applyNumberFormat="1" applyFont="1" applyFill="1" applyBorder="1" applyAlignment="1">
      <alignment horizontal="right"/>
    </xf>
    <xf numFmtId="174" fontId="9" fillId="34" borderId="10" xfId="0" applyNumberFormat="1" applyFont="1" applyFill="1" applyBorder="1" applyAlignment="1">
      <alignment horizontal="right"/>
    </xf>
    <xf numFmtId="174" fontId="9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/>
    </xf>
    <xf numFmtId="3" fontId="9" fillId="34" borderId="10" xfId="0" applyNumberFormat="1" applyFont="1" applyFill="1" applyBorder="1" applyAlignment="1">
      <alignment horizontal="center" vertical="center"/>
    </xf>
    <xf numFmtId="0" fontId="34" fillId="0" borderId="10" xfId="82" applyFont="1" applyFill="1" applyBorder="1" applyAlignment="1">
      <alignment vertical="center" wrapText="1"/>
      <protection/>
    </xf>
    <xf numFmtId="175" fontId="34" fillId="0" borderId="10" xfId="58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176" fontId="26" fillId="0" borderId="10" xfId="46" applyNumberFormat="1" applyFont="1" applyFill="1" applyBorder="1" applyAlignment="1">
      <alignment/>
    </xf>
    <xf numFmtId="0" fontId="34" fillId="0" borderId="10" xfId="0" applyFont="1" applyFill="1" applyBorder="1" applyAlignment="1">
      <alignment horizontal="center"/>
    </xf>
    <xf numFmtId="175" fontId="34" fillId="0" borderId="10" xfId="46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175" fontId="3" fillId="0" borderId="10" xfId="46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79" fontId="2" fillId="0" borderId="10" xfId="46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176" fontId="34" fillId="0" borderId="10" xfId="51" applyNumberFormat="1" applyFont="1" applyFill="1" applyBorder="1" applyAlignment="1">
      <alignment horizontal="right"/>
    </xf>
    <xf numFmtId="175" fontId="26" fillId="0" borderId="10" xfId="46" applyNumberFormat="1" applyFont="1" applyFill="1" applyBorder="1" applyAlignment="1">
      <alignment vertical="center"/>
    </xf>
    <xf numFmtId="175" fontId="26" fillId="0" borderId="10" xfId="46" applyNumberFormat="1" applyFont="1" applyFill="1" applyBorder="1" applyAlignment="1">
      <alignment horizontal="right"/>
    </xf>
    <xf numFmtId="174" fontId="9" fillId="0" borderId="10" xfId="0" applyNumberFormat="1" applyFont="1" applyFill="1" applyBorder="1" applyAlignment="1">
      <alignment horizontal="center"/>
    </xf>
    <xf numFmtId="177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49" fontId="35" fillId="0" borderId="10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 applyProtection="1">
      <alignment horizontal="right" vertical="center" wrapText="1"/>
      <protection/>
    </xf>
    <xf numFmtId="175" fontId="3" fillId="0" borderId="10" xfId="46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 applyProtection="1">
      <alignment horizontal="right" vertical="center" wrapText="1"/>
      <protection/>
    </xf>
    <xf numFmtId="176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15" fillId="34" borderId="10" xfId="0" applyFont="1" applyFill="1" applyBorder="1" applyAlignment="1">
      <alignment horizontal="center"/>
    </xf>
    <xf numFmtId="175" fontId="2" fillId="0" borderId="10" xfId="46" applyNumberFormat="1" applyFont="1" applyFill="1" applyBorder="1" applyAlignment="1">
      <alignment horizontal="right"/>
    </xf>
    <xf numFmtId="176" fontId="26" fillId="0" borderId="10" xfId="46" applyNumberFormat="1" applyFont="1" applyFill="1" applyBorder="1" applyAlignment="1">
      <alignment horizontal="right"/>
    </xf>
    <xf numFmtId="175" fontId="34" fillId="0" borderId="10" xfId="51" applyNumberFormat="1" applyFont="1" applyFill="1" applyBorder="1" applyAlignment="1">
      <alignment horizontal="right"/>
    </xf>
    <xf numFmtId="173" fontId="34" fillId="0" borderId="10" xfId="46" applyNumberFormat="1" applyFont="1" applyFill="1" applyBorder="1" applyAlignment="1">
      <alignment horizontal="right"/>
    </xf>
    <xf numFmtId="175" fontId="26" fillId="0" borderId="10" xfId="51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3" fillId="0" borderId="10" xfId="0" applyFont="1" applyFill="1" applyBorder="1" applyAlignment="1">
      <alignment horizontal="justify" wrapText="1"/>
    </xf>
    <xf numFmtId="0" fontId="18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 wrapText="1"/>
    </xf>
    <xf numFmtId="0" fontId="2" fillId="0" borderId="13" xfId="0" applyFont="1" applyFill="1" applyBorder="1" applyAlignment="1">
      <alignment horizontal="justify" wrapText="1"/>
    </xf>
    <xf numFmtId="0" fontId="35" fillId="0" borderId="12" xfId="0" applyFont="1" applyFill="1" applyBorder="1" applyAlignment="1">
      <alignment horizontal="justify" wrapText="1"/>
    </xf>
    <xf numFmtId="0" fontId="2" fillId="0" borderId="12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horizontal="justify" wrapText="1"/>
    </xf>
    <xf numFmtId="0" fontId="3" fillId="0" borderId="12" xfId="0" applyFont="1" applyFill="1" applyBorder="1" applyAlignment="1" quotePrefix="1">
      <alignment horizontal="justify" wrapText="1"/>
    </xf>
    <xf numFmtId="0" fontId="3" fillId="0" borderId="12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justify"/>
    </xf>
    <xf numFmtId="0" fontId="5" fillId="0" borderId="0" xfId="0" applyFont="1" applyFill="1" applyBorder="1" applyAlignment="1">
      <alignment horizontal="justify"/>
    </xf>
    <xf numFmtId="175" fontId="5" fillId="0" borderId="0" xfId="46" applyNumberFormat="1" applyFont="1" applyFill="1" applyBorder="1" applyAlignment="1">
      <alignment horizontal="justify"/>
    </xf>
    <xf numFmtId="175" fontId="5" fillId="0" borderId="0" xfId="0" applyNumberFormat="1" applyFont="1" applyFill="1" applyAlignment="1">
      <alignment horizontal="justify"/>
    </xf>
    <xf numFmtId="0" fontId="13" fillId="0" borderId="0" xfId="0" applyFont="1" applyFill="1" applyAlignment="1">
      <alignment horizontal="justify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0" xfId="0" applyFont="1" applyFill="1" applyAlignment="1">
      <alignment/>
    </xf>
    <xf numFmtId="3" fontId="8" fillId="34" borderId="10" xfId="0" applyNumberFormat="1" applyFont="1" applyFill="1" applyBorder="1" applyAlignment="1">
      <alignment horizontal="center"/>
    </xf>
    <xf numFmtId="177" fontId="9" fillId="0" borderId="10" xfId="46" applyNumberFormat="1" applyFont="1" applyBorder="1" applyAlignment="1">
      <alignment horizontal="center"/>
    </xf>
    <xf numFmtId="3" fontId="9" fillId="35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174" fontId="9" fillId="34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33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80" fontId="23" fillId="0" borderId="0" xfId="0" applyNumberFormat="1" applyFont="1" applyFill="1" applyAlignment="1">
      <alignment/>
    </xf>
    <xf numFmtId="0" fontId="39" fillId="0" borderId="10" xfId="0" applyFont="1" applyFill="1" applyBorder="1" applyAlignment="1">
      <alignment horizontal="right"/>
    </xf>
    <xf numFmtId="0" fontId="39" fillId="0" borderId="0" xfId="0" applyFont="1" applyFill="1" applyBorder="1" applyAlignment="1">
      <alignment/>
    </xf>
    <xf numFmtId="0" fontId="26" fillId="0" borderId="10" xfId="87" applyFont="1" applyFill="1" applyBorder="1" applyAlignment="1">
      <alignment horizontal="center" vertical="center"/>
      <protection/>
    </xf>
    <xf numFmtId="49" fontId="26" fillId="0" borderId="10" xfId="87" applyNumberFormat="1" applyFont="1" applyFill="1" applyBorder="1" applyAlignment="1" quotePrefix="1">
      <alignment horizontal="left" vertical="center" wrapText="1"/>
      <protection/>
    </xf>
    <xf numFmtId="0" fontId="26" fillId="0" borderId="10" xfId="87" applyFont="1" applyFill="1" applyBorder="1" applyAlignment="1">
      <alignment horizontal="center" vertical="center" wrapText="1"/>
      <protection/>
    </xf>
    <xf numFmtId="173" fontId="39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5" fillId="0" borderId="10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justify" vertical="center" wrapText="1"/>
      <protection/>
    </xf>
    <xf numFmtId="175" fontId="35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justify" vertical="center" wrapText="1"/>
    </xf>
    <xf numFmtId="0" fontId="2" fillId="0" borderId="10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 quotePrefix="1">
      <alignment horizontal="justify" vertical="center" wrapText="1"/>
      <protection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4" fontId="2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/>
    </xf>
    <xf numFmtId="173" fontId="34" fillId="0" borderId="10" xfId="46" applyNumberFormat="1" applyFont="1" applyFill="1" applyBorder="1" applyAlignment="1">
      <alignment/>
    </xf>
    <xf numFmtId="176" fontId="34" fillId="0" borderId="10" xfId="46" applyNumberFormat="1" applyFont="1" applyFill="1" applyBorder="1" applyAlignment="1">
      <alignment/>
    </xf>
    <xf numFmtId="175" fontId="34" fillId="0" borderId="10" xfId="46" applyNumberFormat="1" applyFont="1" applyFill="1" applyBorder="1" applyAlignment="1">
      <alignment/>
    </xf>
    <xf numFmtId="175" fontId="3" fillId="0" borderId="15" xfId="46" applyNumberFormat="1" applyFont="1" applyFill="1" applyBorder="1" applyAlignment="1">
      <alignment horizontal="right" vertical="center"/>
    </xf>
    <xf numFmtId="3" fontId="9" fillId="0" borderId="10" xfId="0" applyNumberFormat="1" applyFont="1" applyBorder="1" applyAlignment="1">
      <alignment/>
    </xf>
    <xf numFmtId="4" fontId="9" fillId="34" borderId="10" xfId="0" applyNumberFormat="1" applyFont="1" applyFill="1" applyBorder="1" applyAlignment="1">
      <alignment horizontal="right"/>
    </xf>
    <xf numFmtId="4" fontId="9" fillId="0" borderId="10" xfId="0" applyNumberFormat="1" applyFont="1" applyBorder="1" applyAlignment="1">
      <alignment/>
    </xf>
    <xf numFmtId="0" fontId="101" fillId="0" borderId="0" xfId="0" applyFont="1" applyFill="1" applyAlignment="1">
      <alignment horizontal="right" vertical="center" wrapText="1"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49" fontId="34" fillId="0" borderId="10" xfId="87" applyNumberFormat="1" applyFont="1" applyFill="1" applyBorder="1" applyAlignment="1">
      <alignment vertical="center"/>
      <protection/>
    </xf>
    <xf numFmtId="175" fontId="34" fillId="0" borderId="10" xfId="60" applyNumberFormat="1" applyFont="1" applyFill="1" applyBorder="1" applyAlignment="1">
      <alignment vertical="center"/>
    </xf>
    <xf numFmtId="175" fontId="34" fillId="0" borderId="10" xfId="60" applyNumberFormat="1" applyFont="1" applyFill="1" applyBorder="1" applyAlignment="1">
      <alignment horizontal="right" vertical="center"/>
    </xf>
    <xf numFmtId="3" fontId="34" fillId="0" borderId="10" xfId="84" applyNumberFormat="1" applyFont="1" applyFill="1" applyBorder="1">
      <alignment/>
      <protection/>
    </xf>
    <xf numFmtId="173" fontId="34" fillId="0" borderId="10" xfId="46" applyFont="1" applyFill="1" applyBorder="1" applyAlignment="1">
      <alignment vertical="center"/>
    </xf>
    <xf numFmtId="49" fontId="34" fillId="0" borderId="10" xfId="87" applyNumberFormat="1" applyFont="1" applyFill="1" applyBorder="1" applyAlignment="1">
      <alignment horizontal="left" vertical="center" indent="3"/>
      <protection/>
    </xf>
    <xf numFmtId="175" fontId="34" fillId="0" borderId="10" xfId="46" applyNumberFormat="1" applyFont="1" applyFill="1" applyBorder="1" applyAlignment="1">
      <alignment vertical="center"/>
    </xf>
    <xf numFmtId="0" fontId="34" fillId="0" borderId="10" xfId="87" applyFont="1" applyFill="1" applyBorder="1" applyAlignment="1">
      <alignment horizontal="right" vertical="center"/>
      <protection/>
    </xf>
    <xf numFmtId="175" fontId="34" fillId="0" borderId="10" xfId="66" applyNumberFormat="1" applyFont="1" applyFill="1" applyBorder="1" applyAlignment="1">
      <alignment/>
    </xf>
    <xf numFmtId="2" fontId="3" fillId="0" borderId="10" xfId="46" applyNumberFormat="1" applyFont="1" applyFill="1" applyBorder="1" applyAlignment="1">
      <alignment/>
    </xf>
    <xf numFmtId="1" fontId="3" fillId="0" borderId="10" xfId="46" applyNumberFormat="1" applyFont="1" applyFill="1" applyBorder="1" applyAlignment="1">
      <alignment/>
    </xf>
    <xf numFmtId="177" fontId="3" fillId="0" borderId="10" xfId="46" applyNumberFormat="1" applyFont="1" applyFill="1" applyBorder="1" applyAlignment="1">
      <alignment/>
    </xf>
    <xf numFmtId="176" fontId="17" fillId="0" borderId="10" xfId="46" applyNumberFormat="1" applyFont="1" applyFill="1" applyBorder="1" applyAlignment="1">
      <alignment horizontal="right"/>
    </xf>
    <xf numFmtId="175" fontId="17" fillId="0" borderId="10" xfId="46" applyNumberFormat="1" applyFont="1" applyFill="1" applyBorder="1" applyAlignment="1">
      <alignment horizontal="right"/>
    </xf>
    <xf numFmtId="174" fontId="3" fillId="0" borderId="10" xfId="0" applyNumberFormat="1" applyFont="1" applyFill="1" applyBorder="1" applyAlignment="1">
      <alignment horizontal="right"/>
    </xf>
    <xf numFmtId="0" fontId="2" fillId="0" borderId="10" xfId="80" applyFont="1" applyFill="1" applyBorder="1" applyAlignment="1">
      <alignment horizontal="center" vertical="center"/>
      <protection/>
    </xf>
    <xf numFmtId="2" fontId="2" fillId="0" borderId="10" xfId="80" applyNumberFormat="1" applyFont="1" applyFill="1" applyBorder="1" applyAlignment="1">
      <alignment horizontal="justify" vertical="center" wrapText="1"/>
      <protection/>
    </xf>
    <xf numFmtId="4" fontId="3" fillId="0" borderId="10" xfId="0" applyNumberFormat="1" applyFont="1" applyFill="1" applyBorder="1" applyAlignment="1">
      <alignment horizontal="right"/>
    </xf>
    <xf numFmtId="17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/>
    </xf>
    <xf numFmtId="175" fontId="2" fillId="0" borderId="10" xfId="46" applyNumberFormat="1" applyFont="1" applyFill="1" applyBorder="1" applyAlignment="1">
      <alignment horizontal="right" vertical="center"/>
    </xf>
    <xf numFmtId="174" fontId="3" fillId="0" borderId="10" xfId="0" applyNumberFormat="1" applyFont="1" applyFill="1" applyBorder="1" applyAlignment="1">
      <alignment horizontal="center"/>
    </xf>
    <xf numFmtId="175" fontId="2" fillId="0" borderId="13" xfId="46" applyNumberFormat="1" applyFont="1" applyFill="1" applyBorder="1" applyAlignment="1">
      <alignment horizontal="center" vertical="center"/>
    </xf>
    <xf numFmtId="175" fontId="2" fillId="0" borderId="12" xfId="46" applyNumberFormat="1" applyFont="1" applyFill="1" applyBorder="1" applyAlignment="1">
      <alignment horizontal="center" vertical="center"/>
    </xf>
    <xf numFmtId="175" fontId="3" fillId="0" borderId="12" xfId="46" applyNumberFormat="1" applyFont="1" applyFill="1" applyBorder="1" applyAlignment="1">
      <alignment horizontal="center" vertical="center"/>
    </xf>
    <xf numFmtId="173" fontId="3" fillId="0" borderId="10" xfId="46" applyNumberFormat="1" applyFont="1" applyFill="1" applyBorder="1" applyAlignment="1" applyProtection="1">
      <alignment horizontal="right" vertical="center" wrapText="1"/>
      <protection/>
    </xf>
    <xf numFmtId="176" fontId="3" fillId="0" borderId="10" xfId="46" applyNumberFormat="1" applyFont="1" applyFill="1" applyBorder="1" applyAlignment="1" applyProtection="1">
      <alignment horizontal="right" vertical="center" wrapText="1"/>
      <protection/>
    </xf>
    <xf numFmtId="3" fontId="9" fillId="0" borderId="10" xfId="0" applyNumberFormat="1" applyFont="1" applyFill="1" applyBorder="1" applyAlignment="1">
      <alignment horizontal="center" vertical="center"/>
    </xf>
    <xf numFmtId="175" fontId="3" fillId="0" borderId="10" xfId="46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173" fontId="26" fillId="0" borderId="10" xfId="46" applyNumberFormat="1" applyFont="1" applyFill="1" applyBorder="1" applyAlignment="1">
      <alignment/>
    </xf>
    <xf numFmtId="175" fontId="26" fillId="0" borderId="10" xfId="46" applyNumberFormat="1" applyFont="1" applyFill="1" applyBorder="1" applyAlignment="1">
      <alignment/>
    </xf>
    <xf numFmtId="0" fontId="3" fillId="0" borderId="10" xfId="0" applyFont="1" applyFill="1" applyBorder="1" applyAlignment="1" quotePrefix="1">
      <alignment horizontal="center"/>
    </xf>
    <xf numFmtId="3" fontId="26" fillId="0" borderId="10" xfId="84" applyNumberFormat="1" applyFont="1" applyFill="1" applyBorder="1">
      <alignment/>
      <protection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justify" vertical="justify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vertical="justify"/>
    </xf>
    <xf numFmtId="175" fontId="33" fillId="0" borderId="0" xfId="46" applyNumberFormat="1" applyFont="1" applyFill="1" applyAlignment="1">
      <alignment/>
    </xf>
    <xf numFmtId="0" fontId="3" fillId="0" borderId="10" xfId="0" applyFont="1" applyFill="1" applyBorder="1" applyAlignment="1">
      <alignment horizontal="justify" vertical="justify" wrapText="1"/>
    </xf>
    <xf numFmtId="175" fontId="3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justify" wrapText="1"/>
    </xf>
    <xf numFmtId="175" fontId="3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justify"/>
    </xf>
    <xf numFmtId="0" fontId="24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26" fillId="0" borderId="10" xfId="87" applyNumberFormat="1" applyFont="1" applyFill="1" applyBorder="1" applyAlignment="1">
      <alignment vertical="center"/>
      <protection/>
    </xf>
    <xf numFmtId="0" fontId="26" fillId="0" borderId="10" xfId="87" applyFont="1" applyFill="1" applyBorder="1" applyAlignment="1">
      <alignment vertical="center"/>
      <protection/>
    </xf>
    <xf numFmtId="175" fontId="26" fillId="0" borderId="10" xfId="60" applyNumberFormat="1" applyFont="1" applyFill="1" applyBorder="1" applyAlignment="1">
      <alignment vertical="center"/>
    </xf>
    <xf numFmtId="175" fontId="26" fillId="0" borderId="10" xfId="60" applyNumberFormat="1" applyFont="1" applyFill="1" applyBorder="1" applyAlignment="1">
      <alignment horizontal="right" vertical="center"/>
    </xf>
    <xf numFmtId="0" fontId="26" fillId="0" borderId="10" xfId="84" applyFont="1" applyFill="1" applyBorder="1">
      <alignment/>
      <protection/>
    </xf>
    <xf numFmtId="0" fontId="26" fillId="0" borderId="10" xfId="87" applyFont="1" applyFill="1" applyBorder="1" applyAlignment="1">
      <alignment horizontal="right" vertical="center"/>
      <protection/>
    </xf>
    <xf numFmtId="175" fontId="34" fillId="0" borderId="10" xfId="61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justify" vertical="center" wrapText="1"/>
    </xf>
    <xf numFmtId="176" fontId="34" fillId="35" borderId="10" xfId="67" applyNumberFormat="1" applyFont="1" applyFill="1" applyBorder="1" applyAlignment="1">
      <alignment horizontal="right"/>
    </xf>
    <xf numFmtId="175" fontId="34" fillId="35" borderId="10" xfId="67" applyNumberFormat="1" applyFont="1" applyFill="1" applyBorder="1" applyAlignment="1">
      <alignment horizontal="right"/>
    </xf>
    <xf numFmtId="0" fontId="104" fillId="0" borderId="0" xfId="0" applyFont="1" applyAlignment="1">
      <alignment/>
    </xf>
    <xf numFmtId="185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/>
    </xf>
    <xf numFmtId="2" fontId="3" fillId="0" borderId="10" xfId="46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3" fontId="3" fillId="0" borderId="10" xfId="5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9" fillId="0" borderId="10" xfId="87" applyFont="1" applyFill="1" applyBorder="1" applyAlignment="1">
      <alignment horizontal="center" vertical="center" wrapText="1"/>
      <protection/>
    </xf>
    <xf numFmtId="4" fontId="9" fillId="0" borderId="10" xfId="0" applyNumberFormat="1" applyFont="1" applyFill="1" applyBorder="1" applyAlignment="1">
      <alignment horizontal="center"/>
    </xf>
    <xf numFmtId="1" fontId="9" fillId="0" borderId="10" xfId="87" applyNumberFormat="1" applyFont="1" applyFill="1" applyBorder="1" applyAlignment="1">
      <alignment horizontal="center" vertical="center" wrapText="1"/>
      <protection/>
    </xf>
    <xf numFmtId="3" fontId="9" fillId="34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Border="1" applyAlignment="1">
      <alignment vertical="center"/>
    </xf>
    <xf numFmtId="177" fontId="9" fillId="0" borderId="10" xfId="87" applyNumberFormat="1" applyFont="1" applyFill="1" applyBorder="1" applyAlignment="1">
      <alignment horizontal="center" vertical="center" wrapText="1"/>
      <protection/>
    </xf>
    <xf numFmtId="185" fontId="2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3" fontId="8" fillId="0" borderId="10" xfId="83" applyNumberFormat="1" applyFont="1" applyFill="1" applyBorder="1" applyAlignment="1">
      <alignment horizontal="center"/>
      <protection/>
    </xf>
    <xf numFmtId="2" fontId="9" fillId="0" borderId="10" xfId="87" applyNumberFormat="1" applyFont="1" applyFill="1" applyBorder="1" applyAlignment="1">
      <alignment horizontal="center" vertical="center" wrapText="1"/>
      <protection/>
    </xf>
    <xf numFmtId="0" fontId="45" fillId="0" borderId="0" xfId="0" applyFont="1" applyBorder="1" applyAlignment="1">
      <alignment/>
    </xf>
    <xf numFmtId="0" fontId="9" fillId="0" borderId="10" xfId="82" applyFont="1" applyFill="1" applyBorder="1" applyAlignment="1">
      <alignment vertical="center" wrapText="1"/>
      <protection/>
    </xf>
    <xf numFmtId="175" fontId="9" fillId="0" borderId="10" xfId="58" applyNumberFormat="1" applyFont="1" applyFill="1" applyBorder="1" applyAlignment="1">
      <alignment horizontal="center" vertical="center" wrapText="1"/>
    </xf>
    <xf numFmtId="0" fontId="8" fillId="0" borderId="10" xfId="82" applyFont="1" applyFill="1" applyBorder="1" applyAlignment="1">
      <alignment vertical="center" wrapText="1"/>
      <protection/>
    </xf>
    <xf numFmtId="175" fontId="8" fillId="0" borderId="10" xfId="58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/>
    </xf>
    <xf numFmtId="0" fontId="46" fillId="0" borderId="0" xfId="0" applyFont="1" applyBorder="1" applyAlignment="1">
      <alignment/>
    </xf>
    <xf numFmtId="0" fontId="45" fillId="34" borderId="0" xfId="0" applyFont="1" applyFill="1" applyBorder="1" applyAlignment="1">
      <alignment/>
    </xf>
    <xf numFmtId="178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76" fontId="3" fillId="0" borderId="10" xfId="67" applyNumberFormat="1" applyFont="1" applyFill="1" applyBorder="1" applyAlignment="1">
      <alignment/>
    </xf>
    <xf numFmtId="175" fontId="3" fillId="0" borderId="10" xfId="67" applyNumberFormat="1" applyFont="1" applyFill="1" applyBorder="1" applyAlignment="1">
      <alignment/>
    </xf>
    <xf numFmtId="173" fontId="3" fillId="0" borderId="10" xfId="67" applyNumberFormat="1" applyFont="1" applyFill="1" applyBorder="1" applyAlignment="1">
      <alignment/>
    </xf>
    <xf numFmtId="185" fontId="3" fillId="0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3" fontId="104" fillId="0" borderId="0" xfId="0" applyNumberFormat="1" applyFont="1" applyFill="1" applyBorder="1" applyAlignment="1">
      <alignment/>
    </xf>
    <xf numFmtId="0" fontId="104" fillId="0" borderId="0" xfId="0" applyFont="1" applyFill="1" applyBorder="1" applyAlignment="1">
      <alignment/>
    </xf>
    <xf numFmtId="0" fontId="104" fillId="0" borderId="0" xfId="0" applyFont="1" applyFill="1" applyBorder="1" applyAlignment="1">
      <alignment horizontal="center" vertical="center"/>
    </xf>
    <xf numFmtId="1" fontId="104" fillId="0" borderId="0" xfId="0" applyNumberFormat="1" applyFont="1" applyFill="1" applyBorder="1" applyAlignment="1">
      <alignment/>
    </xf>
    <xf numFmtId="0" fontId="105" fillId="0" borderId="0" xfId="0" applyFont="1" applyFill="1" applyBorder="1" applyAlignment="1">
      <alignment/>
    </xf>
    <xf numFmtId="3" fontId="105" fillId="0" borderId="0" xfId="0" applyNumberFormat="1" applyFont="1" applyFill="1" applyBorder="1" applyAlignment="1">
      <alignment/>
    </xf>
    <xf numFmtId="3" fontId="105" fillId="0" borderId="0" xfId="0" applyNumberFormat="1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/>
    </xf>
    <xf numFmtId="175" fontId="106" fillId="0" borderId="10" xfId="46" applyNumberFormat="1" applyFont="1" applyFill="1" applyBorder="1" applyAlignment="1">
      <alignment horizontal="center"/>
    </xf>
    <xf numFmtId="0" fontId="107" fillId="0" borderId="0" xfId="87" applyFont="1" applyFill="1" applyAlignment="1">
      <alignment vertical="center"/>
      <protection/>
    </xf>
    <xf numFmtId="0" fontId="106" fillId="0" borderId="10" xfId="87" applyFont="1" applyFill="1" applyBorder="1" applyAlignment="1">
      <alignment vertical="center"/>
      <protection/>
    </xf>
    <xf numFmtId="49" fontId="106" fillId="0" borderId="10" xfId="87" applyNumberFormat="1" applyFont="1" applyFill="1" applyBorder="1" applyAlignment="1" quotePrefix="1">
      <alignment vertical="center"/>
      <protection/>
    </xf>
    <xf numFmtId="0" fontId="106" fillId="0" borderId="10" xfId="87" applyFont="1" applyFill="1" applyBorder="1" applyAlignment="1">
      <alignment horizontal="center" vertical="center"/>
      <protection/>
    </xf>
    <xf numFmtId="175" fontId="106" fillId="0" borderId="10" xfId="60" applyNumberFormat="1" applyFont="1" applyFill="1" applyBorder="1" applyAlignment="1">
      <alignment vertical="center"/>
    </xf>
    <xf numFmtId="175" fontId="106" fillId="0" borderId="10" xfId="60" applyNumberFormat="1" applyFont="1" applyFill="1" applyBorder="1" applyAlignment="1">
      <alignment horizontal="right" vertical="center"/>
    </xf>
    <xf numFmtId="3" fontId="106" fillId="0" borderId="10" xfId="84" applyNumberFormat="1" applyFont="1" applyFill="1" applyBorder="1">
      <alignment/>
      <protection/>
    </xf>
    <xf numFmtId="175" fontId="106" fillId="0" borderId="10" xfId="84" applyNumberFormat="1" applyFont="1" applyFill="1" applyBorder="1">
      <alignment/>
      <protection/>
    </xf>
    <xf numFmtId="3" fontId="108" fillId="0" borderId="0" xfId="87" applyNumberFormat="1" applyFont="1" applyFill="1" applyAlignment="1">
      <alignment vertical="center"/>
      <protection/>
    </xf>
    <xf numFmtId="0" fontId="109" fillId="0" borderId="10" xfId="87" applyFont="1" applyFill="1" applyBorder="1" applyAlignment="1">
      <alignment vertical="center"/>
      <protection/>
    </xf>
    <xf numFmtId="49" fontId="109" fillId="0" borderId="10" xfId="87" applyNumberFormat="1" applyFont="1" applyFill="1" applyBorder="1" applyAlignment="1" quotePrefix="1">
      <alignment vertical="center"/>
      <protection/>
    </xf>
    <xf numFmtId="0" fontId="109" fillId="0" borderId="10" xfId="87" applyFont="1" applyFill="1" applyBorder="1" applyAlignment="1">
      <alignment horizontal="center" vertical="center"/>
      <protection/>
    </xf>
    <xf numFmtId="175" fontId="109" fillId="0" borderId="10" xfId="60" applyNumberFormat="1" applyFont="1" applyFill="1" applyBorder="1" applyAlignment="1">
      <alignment vertical="center"/>
    </xf>
    <xf numFmtId="175" fontId="109" fillId="0" borderId="10" xfId="60" applyNumberFormat="1" applyFont="1" applyFill="1" applyBorder="1" applyAlignment="1">
      <alignment horizontal="right" vertical="center"/>
    </xf>
    <xf numFmtId="3" fontId="109" fillId="0" borderId="10" xfId="84" applyNumberFormat="1" applyFont="1" applyFill="1" applyBorder="1">
      <alignment/>
      <protection/>
    </xf>
    <xf numFmtId="175" fontId="109" fillId="0" borderId="10" xfId="46" applyNumberFormat="1" applyFont="1" applyFill="1" applyBorder="1" applyAlignment="1">
      <alignment/>
    </xf>
    <xf numFmtId="175" fontId="109" fillId="0" borderId="10" xfId="46" applyNumberFormat="1" applyFont="1" applyFill="1" applyBorder="1" applyAlignment="1">
      <alignment horizontal="center"/>
    </xf>
    <xf numFmtId="0" fontId="108" fillId="0" borderId="0" xfId="87" applyFont="1" applyFill="1" applyAlignment="1">
      <alignment vertical="center"/>
      <protection/>
    </xf>
    <xf numFmtId="175" fontId="108" fillId="0" borderId="0" xfId="87" applyNumberFormat="1" applyFont="1" applyFill="1" applyAlignment="1">
      <alignment vertical="center"/>
      <protection/>
    </xf>
    <xf numFmtId="175" fontId="106" fillId="0" borderId="10" xfId="46" applyNumberFormat="1" applyFont="1" applyFill="1" applyBorder="1" applyAlignment="1">
      <alignment/>
    </xf>
    <xf numFmtId="176" fontId="109" fillId="0" borderId="10" xfId="46" applyNumberFormat="1" applyFont="1" applyFill="1" applyBorder="1" applyAlignment="1">
      <alignment vertical="center"/>
    </xf>
    <xf numFmtId="174" fontId="109" fillId="0" borderId="10" xfId="84" applyNumberFormat="1" applyFont="1" applyFill="1" applyBorder="1">
      <alignment/>
      <protection/>
    </xf>
    <xf numFmtId="176" fontId="109" fillId="0" borderId="10" xfId="46" applyNumberFormat="1" applyFont="1" applyFill="1" applyBorder="1" applyAlignment="1">
      <alignment/>
    </xf>
    <xf numFmtId="176" fontId="109" fillId="0" borderId="10" xfId="46" applyNumberFormat="1" applyFont="1" applyFill="1" applyBorder="1" applyAlignment="1">
      <alignment horizontal="right" vertical="center"/>
    </xf>
    <xf numFmtId="176" fontId="109" fillId="0" borderId="10" xfId="46" applyNumberFormat="1" applyFont="1" applyFill="1" applyBorder="1" applyAlignment="1">
      <alignment horizontal="right"/>
    </xf>
    <xf numFmtId="176" fontId="109" fillId="0" borderId="10" xfId="46" applyNumberFormat="1" applyFont="1" applyFill="1" applyBorder="1" applyAlignment="1">
      <alignment horizontal="center"/>
    </xf>
    <xf numFmtId="10" fontId="108" fillId="0" borderId="0" xfId="93" applyNumberFormat="1" applyFont="1" applyFill="1" applyAlignment="1">
      <alignment vertical="center"/>
    </xf>
    <xf numFmtId="49" fontId="109" fillId="0" borderId="10" xfId="87" applyNumberFormat="1" applyFont="1" applyFill="1" applyBorder="1" applyAlignment="1" quotePrefix="1">
      <alignment horizontal="left" vertical="center" indent="3"/>
      <protection/>
    </xf>
    <xf numFmtId="175" fontId="109" fillId="0" borderId="10" xfId="46" applyNumberFormat="1" applyFont="1" applyFill="1" applyBorder="1" applyAlignment="1">
      <alignment horizontal="right"/>
    </xf>
    <xf numFmtId="175" fontId="107" fillId="0" borderId="0" xfId="87" applyNumberFormat="1" applyFont="1" applyFill="1" applyAlignment="1">
      <alignment vertical="center"/>
      <protection/>
    </xf>
    <xf numFmtId="0" fontId="107" fillId="0" borderId="0" xfId="0" applyFont="1" applyFill="1" applyAlignment="1">
      <alignment/>
    </xf>
    <xf numFmtId="0" fontId="110" fillId="0" borderId="10" xfId="87" applyFont="1" applyFill="1" applyBorder="1" applyAlignment="1">
      <alignment horizontal="center" vertical="center"/>
      <protection/>
    </xf>
    <xf numFmtId="49" fontId="110" fillId="0" borderId="10" xfId="87" applyNumberFormat="1" applyFont="1" applyFill="1" applyBorder="1" applyAlignment="1">
      <alignment vertical="center"/>
      <protection/>
    </xf>
    <xf numFmtId="173" fontId="109" fillId="0" borderId="10" xfId="46" applyNumberFormat="1" applyFont="1" applyFill="1" applyBorder="1" applyAlignment="1">
      <alignment vertical="center"/>
    </xf>
    <xf numFmtId="0" fontId="108" fillId="0" borderId="0" xfId="0" applyFont="1" applyFill="1" applyAlignment="1">
      <alignment/>
    </xf>
    <xf numFmtId="173" fontId="108" fillId="0" borderId="0" xfId="87" applyNumberFormat="1" applyFont="1" applyFill="1" applyAlignment="1">
      <alignment vertical="center"/>
      <protection/>
    </xf>
    <xf numFmtId="176" fontId="109" fillId="0" borderId="10" xfId="46" applyNumberFormat="1" applyFont="1" applyFill="1" applyBorder="1" applyAlignment="1">
      <alignment/>
    </xf>
    <xf numFmtId="176" fontId="109" fillId="0" borderId="10" xfId="46" applyNumberFormat="1" applyFont="1" applyFill="1" applyBorder="1" applyAlignment="1">
      <alignment horizontal="center" vertical="center"/>
    </xf>
    <xf numFmtId="0" fontId="109" fillId="0" borderId="10" xfId="87" applyFont="1" applyFill="1" applyBorder="1" applyAlignment="1">
      <alignment horizontal="right" vertical="center"/>
      <protection/>
    </xf>
    <xf numFmtId="173" fontId="109" fillId="0" borderId="10" xfId="46" applyNumberFormat="1" applyFont="1" applyFill="1" applyBorder="1" applyAlignment="1">
      <alignment horizontal="right" vertical="center"/>
    </xf>
    <xf numFmtId="173" fontId="109" fillId="0" borderId="10" xfId="84" applyNumberFormat="1" applyFont="1" applyFill="1" applyBorder="1">
      <alignment/>
      <protection/>
    </xf>
    <xf numFmtId="173" fontId="109" fillId="35" borderId="10" xfId="67" applyNumberFormat="1" applyFont="1" applyFill="1" applyBorder="1" applyAlignment="1">
      <alignment horizontal="right" vertical="center"/>
    </xf>
    <xf numFmtId="176" fontId="109" fillId="35" borderId="10" xfId="67" applyNumberFormat="1" applyFont="1" applyFill="1" applyBorder="1" applyAlignment="1">
      <alignment horizontal="right" vertical="center"/>
    </xf>
    <xf numFmtId="175" fontId="108" fillId="35" borderId="0" xfId="88" applyNumberFormat="1" applyFont="1" applyFill="1" applyAlignment="1">
      <alignment vertical="center"/>
      <protection/>
    </xf>
    <xf numFmtId="0" fontId="109" fillId="35" borderId="10" xfId="88" applyFont="1" applyFill="1" applyBorder="1" applyAlignment="1">
      <alignment horizontal="center" vertical="center"/>
      <protection/>
    </xf>
    <xf numFmtId="49" fontId="109" fillId="35" borderId="10" xfId="88" applyNumberFormat="1" applyFont="1" applyFill="1" applyBorder="1" applyAlignment="1" quotePrefix="1">
      <alignment vertical="center"/>
      <protection/>
    </xf>
    <xf numFmtId="173" fontId="109" fillId="35" borderId="10" xfId="67" applyNumberFormat="1" applyFont="1" applyFill="1" applyBorder="1" applyAlignment="1">
      <alignment vertical="center"/>
    </xf>
    <xf numFmtId="173" fontId="109" fillId="35" borderId="10" xfId="84" applyNumberFormat="1" applyFont="1" applyFill="1" applyBorder="1">
      <alignment/>
      <protection/>
    </xf>
    <xf numFmtId="176" fontId="109" fillId="35" borderId="10" xfId="67" applyNumberFormat="1" applyFont="1" applyFill="1" applyBorder="1" applyAlignment="1">
      <alignment horizontal="right"/>
    </xf>
    <xf numFmtId="0" fontId="109" fillId="35" borderId="10" xfId="88" applyFont="1" applyFill="1" applyBorder="1" applyAlignment="1">
      <alignment horizontal="right" vertical="center"/>
      <protection/>
    </xf>
    <xf numFmtId="176" fontId="109" fillId="35" borderId="10" xfId="67" applyNumberFormat="1" applyFont="1" applyFill="1" applyBorder="1" applyAlignment="1">
      <alignment/>
    </xf>
    <xf numFmtId="0" fontId="108" fillId="35" borderId="0" xfId="88" applyFont="1" applyFill="1" applyAlignment="1">
      <alignment vertical="center"/>
      <protection/>
    </xf>
    <xf numFmtId="0" fontId="108" fillId="35" borderId="0" xfId="87" applyFont="1" applyFill="1" applyAlignment="1">
      <alignment vertical="center"/>
      <protection/>
    </xf>
    <xf numFmtId="0" fontId="109" fillId="0" borderId="10" xfId="87" applyNumberFormat="1" applyFont="1" applyFill="1" applyBorder="1" applyAlignment="1">
      <alignment vertical="center"/>
      <protection/>
    </xf>
    <xf numFmtId="10" fontId="109" fillId="0" borderId="10" xfId="87" applyNumberFormat="1" applyFont="1" applyFill="1" applyBorder="1" applyAlignment="1">
      <alignment vertical="center"/>
      <protection/>
    </xf>
    <xf numFmtId="49" fontId="106" fillId="0" borderId="10" xfId="87" applyNumberFormat="1" applyFont="1" applyFill="1" applyBorder="1" applyAlignment="1">
      <alignment vertical="center"/>
      <protection/>
    </xf>
    <xf numFmtId="176" fontId="109" fillId="0" borderId="10" xfId="60" applyNumberFormat="1" applyFont="1" applyFill="1" applyBorder="1" applyAlignment="1">
      <alignment vertical="center"/>
    </xf>
    <xf numFmtId="176" fontId="109" fillId="0" borderId="10" xfId="60" applyNumberFormat="1" applyFont="1" applyFill="1" applyBorder="1" applyAlignment="1">
      <alignment horizontal="right" vertical="center"/>
    </xf>
    <xf numFmtId="0" fontId="107" fillId="0" borderId="10" xfId="87" applyFont="1" applyFill="1" applyBorder="1" applyAlignment="1">
      <alignment/>
      <protection/>
    </xf>
    <xf numFmtId="49" fontId="107" fillId="0" borderId="10" xfId="87" applyNumberFormat="1" applyFont="1" applyFill="1" applyBorder="1" applyAlignment="1">
      <alignment/>
      <protection/>
    </xf>
    <xf numFmtId="0" fontId="106" fillId="0" borderId="10" xfId="0" applyFont="1" applyFill="1" applyBorder="1" applyAlignment="1">
      <alignment/>
    </xf>
    <xf numFmtId="49" fontId="109" fillId="0" borderId="10" xfId="87" applyNumberFormat="1" applyFont="1" applyFill="1" applyBorder="1" applyAlignment="1">
      <alignment vertical="center"/>
      <protection/>
    </xf>
    <xf numFmtId="0" fontId="106" fillId="0" borderId="0" xfId="87" applyFont="1" applyFill="1" applyBorder="1" applyAlignment="1">
      <alignment vertical="center"/>
      <protection/>
    </xf>
    <xf numFmtId="49" fontId="106" fillId="0" borderId="0" xfId="87" applyNumberFormat="1" applyFont="1" applyFill="1" applyBorder="1" applyAlignment="1">
      <alignment vertical="center"/>
      <protection/>
    </xf>
    <xf numFmtId="0" fontId="106" fillId="0" borderId="0" xfId="87" applyFont="1" applyFill="1" applyBorder="1" applyAlignment="1">
      <alignment horizontal="center" vertical="center"/>
      <protection/>
    </xf>
    <xf numFmtId="175" fontId="106" fillId="0" borderId="0" xfId="60" applyNumberFormat="1" applyFont="1" applyFill="1" applyBorder="1" applyAlignment="1">
      <alignment vertical="center"/>
    </xf>
    <xf numFmtId="175" fontId="106" fillId="0" borderId="0" xfId="60" applyNumberFormat="1" applyFont="1" applyFill="1" applyBorder="1" applyAlignment="1">
      <alignment horizontal="right" vertical="center"/>
    </xf>
    <xf numFmtId="3" fontId="106" fillId="0" borderId="0" xfId="84" applyNumberFormat="1" applyFont="1" applyFill="1" applyBorder="1">
      <alignment/>
      <protection/>
    </xf>
    <xf numFmtId="0" fontId="106" fillId="0" borderId="0" xfId="84" applyFont="1" applyFill="1" applyBorder="1">
      <alignment/>
      <protection/>
    </xf>
    <xf numFmtId="0" fontId="106" fillId="0" borderId="10" xfId="87" applyFont="1" applyFill="1" applyBorder="1" applyAlignment="1">
      <alignment horizontal="right" vertical="center"/>
      <protection/>
    </xf>
    <xf numFmtId="0" fontId="111" fillId="0" borderId="0" xfId="87" applyFont="1" applyFill="1" applyAlignment="1">
      <alignment vertical="center"/>
      <protection/>
    </xf>
    <xf numFmtId="0" fontId="109" fillId="0" borderId="0" xfId="87" applyFont="1" applyFill="1" applyBorder="1" applyAlignment="1">
      <alignment horizontal="right" vertical="center"/>
      <protection/>
    </xf>
    <xf numFmtId="49" fontId="109" fillId="0" borderId="0" xfId="87" applyNumberFormat="1" applyFont="1" applyFill="1" applyBorder="1" applyAlignment="1">
      <alignment vertical="center"/>
      <protection/>
    </xf>
    <xf numFmtId="0" fontId="109" fillId="0" borderId="0" xfId="87" applyFont="1" applyFill="1" applyBorder="1" applyAlignment="1">
      <alignment horizontal="center" vertical="center"/>
      <protection/>
    </xf>
    <xf numFmtId="175" fontId="109" fillId="0" borderId="0" xfId="60" applyNumberFormat="1" applyFont="1" applyFill="1" applyBorder="1" applyAlignment="1">
      <alignment vertical="center"/>
    </xf>
    <xf numFmtId="175" fontId="109" fillId="0" borderId="0" xfId="60" applyNumberFormat="1" applyFont="1" applyFill="1" applyBorder="1" applyAlignment="1">
      <alignment horizontal="right" vertical="center"/>
    </xf>
    <xf numFmtId="3" fontId="109" fillId="0" borderId="0" xfId="84" applyNumberFormat="1" applyFont="1" applyFill="1" applyBorder="1">
      <alignment/>
      <protection/>
    </xf>
    <xf numFmtId="175" fontId="109" fillId="0" borderId="0" xfId="46" applyNumberFormat="1" applyFont="1" applyFill="1" applyBorder="1" applyAlignment="1">
      <alignment/>
    </xf>
    <xf numFmtId="0" fontId="107" fillId="0" borderId="0" xfId="87" applyFont="1" applyFill="1" applyBorder="1" applyAlignment="1">
      <alignment/>
      <protection/>
    </xf>
    <xf numFmtId="49" fontId="107" fillId="0" borderId="0" xfId="87" applyNumberFormat="1" applyFont="1" applyFill="1" applyBorder="1" applyAlignment="1">
      <alignment/>
      <protection/>
    </xf>
    <xf numFmtId="0" fontId="106" fillId="0" borderId="0" xfId="0" applyFont="1" applyFill="1" applyBorder="1" applyAlignment="1">
      <alignment/>
    </xf>
    <xf numFmtId="0" fontId="109" fillId="0" borderId="0" xfId="0" applyFont="1" applyFill="1" applyBorder="1" applyAlignment="1">
      <alignment/>
    </xf>
    <xf numFmtId="0" fontId="108" fillId="0" borderId="0" xfId="0" applyFont="1" applyFill="1" applyBorder="1" applyAlignment="1">
      <alignment/>
    </xf>
    <xf numFmtId="3" fontId="8" fillId="0" borderId="10" xfId="86" applyNumberFormat="1" applyFont="1" applyFill="1" applyBorder="1" applyAlignment="1">
      <alignment horizontal="center"/>
      <protection/>
    </xf>
    <xf numFmtId="2" fontId="9" fillId="0" borderId="10" xfId="86" applyNumberFormat="1" applyFont="1" applyFill="1" applyBorder="1" applyAlignment="1">
      <alignment horizontal="center"/>
      <protection/>
    </xf>
    <xf numFmtId="0" fontId="4" fillId="0" borderId="10" xfId="89" applyFont="1" applyFill="1" applyBorder="1" applyAlignment="1">
      <alignment horizontal="center"/>
      <protection/>
    </xf>
    <xf numFmtId="0" fontId="4" fillId="0" borderId="10" xfId="89" applyFont="1" applyFill="1" applyBorder="1" applyAlignment="1">
      <alignment horizontal="left"/>
      <protection/>
    </xf>
    <xf numFmtId="0" fontId="5" fillId="0" borderId="10" xfId="89" applyFont="1" applyFill="1" applyBorder="1" applyAlignment="1">
      <alignment horizontal="center"/>
      <protection/>
    </xf>
    <xf numFmtId="0" fontId="5" fillId="0" borderId="10" xfId="89" applyFont="1" applyFill="1" applyBorder="1" applyAlignment="1">
      <alignment horizontal="left"/>
      <protection/>
    </xf>
    <xf numFmtId="175" fontId="4" fillId="0" borderId="10" xfId="46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75" fontId="15" fillId="0" borderId="10" xfId="51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175" fontId="34" fillId="35" borderId="10" xfId="46" applyNumberFormat="1" applyFont="1" applyFill="1" applyBorder="1" applyAlignment="1">
      <alignment/>
    </xf>
    <xf numFmtId="176" fontId="47" fillId="35" borderId="10" xfId="51" applyNumberFormat="1" applyFont="1" applyFill="1" applyBorder="1" applyAlignment="1">
      <alignment/>
    </xf>
    <xf numFmtId="175" fontId="47" fillId="35" borderId="10" xfId="51" applyNumberFormat="1" applyFont="1" applyFill="1" applyBorder="1" applyAlignment="1">
      <alignment/>
    </xf>
    <xf numFmtId="175" fontId="34" fillId="35" borderId="10" xfId="46" applyNumberFormat="1" applyFont="1" applyFill="1" applyBorder="1" applyAlignment="1">
      <alignment horizontal="right"/>
    </xf>
    <xf numFmtId="176" fontId="34" fillId="35" borderId="10" xfId="51" applyNumberFormat="1" applyFont="1" applyFill="1" applyBorder="1" applyAlignment="1">
      <alignment/>
    </xf>
    <xf numFmtId="175" fontId="34" fillId="35" borderId="10" xfId="51" applyNumberFormat="1" applyFont="1" applyFill="1" applyBorder="1" applyAlignment="1">
      <alignment/>
    </xf>
    <xf numFmtId="173" fontId="34" fillId="35" borderId="10" xfId="51" applyFont="1" applyFill="1" applyBorder="1" applyAlignment="1">
      <alignment horizontal="right"/>
    </xf>
    <xf numFmtId="176" fontId="34" fillId="35" borderId="10" xfId="51" applyNumberFormat="1" applyFont="1" applyFill="1" applyBorder="1" applyAlignment="1">
      <alignment horizontal="right"/>
    </xf>
    <xf numFmtId="175" fontId="34" fillId="35" borderId="10" xfId="51" applyNumberFormat="1" applyFont="1" applyFill="1" applyBorder="1" applyAlignment="1">
      <alignment horizontal="right"/>
    </xf>
    <xf numFmtId="173" fontId="34" fillId="35" borderId="10" xfId="51" applyNumberFormat="1" applyFont="1" applyFill="1" applyBorder="1" applyAlignment="1">
      <alignment horizontal="right"/>
    </xf>
    <xf numFmtId="0" fontId="78" fillId="35" borderId="10" xfId="0" applyFont="1" applyFill="1" applyBorder="1" applyAlignment="1">
      <alignment/>
    </xf>
    <xf numFmtId="176" fontId="78" fillId="35" borderId="10" xfId="51" applyNumberFormat="1" applyFont="1" applyFill="1" applyBorder="1" applyAlignment="1">
      <alignment/>
    </xf>
    <xf numFmtId="175" fontId="78" fillId="35" borderId="10" xfId="51" applyNumberFormat="1" applyFont="1" applyFill="1" applyBorder="1" applyAlignment="1">
      <alignment/>
    </xf>
    <xf numFmtId="0" fontId="34" fillId="35" borderId="10" xfId="0" applyFont="1" applyFill="1" applyBorder="1" applyAlignment="1">
      <alignment/>
    </xf>
    <xf numFmtId="1" fontId="34" fillId="35" borderId="10" xfId="0" applyNumberFormat="1" applyFont="1" applyFill="1" applyBorder="1" applyAlignment="1">
      <alignment/>
    </xf>
    <xf numFmtId="0" fontId="34" fillId="0" borderId="10" xfId="0" applyFont="1" applyBorder="1" applyAlignment="1">
      <alignment/>
    </xf>
    <xf numFmtId="1" fontId="34" fillId="0" borderId="10" xfId="0" applyNumberFormat="1" applyFont="1" applyBorder="1" applyAlignment="1">
      <alignment/>
    </xf>
    <xf numFmtId="1" fontId="34" fillId="0" borderId="10" xfId="51" applyNumberFormat="1" applyFont="1" applyFill="1" applyBorder="1" applyAlignment="1">
      <alignment horizontal="right"/>
    </xf>
    <xf numFmtId="0" fontId="78" fillId="35" borderId="10" xfId="0" applyFont="1" applyFill="1" applyBorder="1" applyAlignment="1">
      <alignment horizontal="center"/>
    </xf>
    <xf numFmtId="173" fontId="34" fillId="0" borderId="10" xfId="46" applyFont="1" applyFill="1" applyBorder="1" applyAlignment="1">
      <alignment horizontal="right"/>
    </xf>
    <xf numFmtId="173" fontId="34" fillId="0" borderId="10" xfId="51" applyFont="1" applyFill="1" applyBorder="1" applyAlignment="1">
      <alignment horizontal="right"/>
    </xf>
    <xf numFmtId="175" fontId="34" fillId="0" borderId="0" xfId="0" applyNumberFormat="1" applyFont="1" applyAlignment="1">
      <alignment/>
    </xf>
    <xf numFmtId="175" fontId="34" fillId="0" borderId="16" xfId="51" applyNumberFormat="1" applyFont="1" applyFill="1" applyBorder="1" applyAlignment="1">
      <alignment horizontal="right"/>
    </xf>
    <xf numFmtId="175" fontId="34" fillId="0" borderId="10" xfId="0" applyNumberFormat="1" applyFont="1" applyBorder="1" applyAlignment="1">
      <alignment/>
    </xf>
    <xf numFmtId="175" fontId="34" fillId="0" borderId="10" xfId="50" applyNumberFormat="1" applyFont="1" applyFill="1" applyBorder="1" applyAlignment="1">
      <alignment/>
    </xf>
    <xf numFmtId="175" fontId="47" fillId="0" borderId="10" xfId="50" applyNumberFormat="1" applyFont="1" applyFill="1" applyBorder="1" applyAlignment="1">
      <alignment/>
    </xf>
    <xf numFmtId="176" fontId="34" fillId="34" borderId="10" xfId="66" applyNumberFormat="1" applyFont="1" applyFill="1" applyBorder="1" applyAlignment="1">
      <alignment/>
    </xf>
    <xf numFmtId="173" fontId="34" fillId="34" borderId="10" xfId="66" applyFont="1" applyFill="1" applyBorder="1" applyAlignment="1">
      <alignment/>
    </xf>
    <xf numFmtId="176" fontId="34" fillId="35" borderId="10" xfId="46" applyNumberFormat="1" applyFont="1" applyFill="1" applyBorder="1" applyAlignment="1">
      <alignment/>
    </xf>
    <xf numFmtId="173" fontId="34" fillId="35" borderId="10" xfId="46" applyFont="1" applyFill="1" applyBorder="1" applyAlignment="1">
      <alignment/>
    </xf>
    <xf numFmtId="175" fontId="34" fillId="34" borderId="10" xfId="66" applyNumberFormat="1" applyFont="1" applyFill="1" applyBorder="1" applyAlignment="1">
      <alignment/>
    </xf>
    <xf numFmtId="175" fontId="34" fillId="0" borderId="10" xfId="52" applyNumberFormat="1" applyFont="1" applyFill="1" applyBorder="1" applyAlignment="1">
      <alignment horizontal="right"/>
    </xf>
    <xf numFmtId="1" fontId="2" fillId="0" borderId="10" xfId="44" applyNumberFormat="1" applyFont="1" applyFill="1" applyBorder="1">
      <alignment/>
      <protection/>
    </xf>
    <xf numFmtId="177" fontId="3" fillId="0" borderId="10" xfId="44" applyNumberFormat="1" applyFont="1" applyFill="1" applyBorder="1">
      <alignment/>
      <protection/>
    </xf>
    <xf numFmtId="176" fontId="3" fillId="0" borderId="10" xfId="65" applyNumberFormat="1" applyFont="1" applyFill="1" applyBorder="1" applyAlignment="1">
      <alignment/>
    </xf>
    <xf numFmtId="173" fontId="3" fillId="0" borderId="10" xfId="65" applyNumberFormat="1" applyFont="1" applyFill="1" applyBorder="1" applyAlignment="1">
      <alignment/>
    </xf>
    <xf numFmtId="175" fontId="3" fillId="0" borderId="10" xfId="65" applyNumberFormat="1" applyFont="1" applyFill="1" applyBorder="1" applyAlignment="1">
      <alignment/>
    </xf>
    <xf numFmtId="177" fontId="2" fillId="0" borderId="10" xfId="44" applyNumberFormat="1" applyFont="1" applyFill="1" applyBorder="1">
      <alignment/>
      <protection/>
    </xf>
    <xf numFmtId="3" fontId="2" fillId="0" borderId="10" xfId="0" applyNumberFormat="1" applyFont="1" applyFill="1" applyBorder="1" applyAlignment="1">
      <alignment horizontal="center" vertical="center"/>
    </xf>
    <xf numFmtId="175" fontId="3" fillId="0" borderId="10" xfId="67" applyNumberFormat="1" applyFont="1" applyFill="1" applyBorder="1" applyAlignment="1">
      <alignment horizontal="right"/>
    </xf>
    <xf numFmtId="0" fontId="34" fillId="0" borderId="10" xfId="88" applyFont="1" applyFill="1" applyBorder="1" applyAlignment="1">
      <alignment horizontal="right"/>
      <protection/>
    </xf>
    <xf numFmtId="177" fontId="34" fillId="0" borderId="10" xfId="88" applyNumberFormat="1" applyFont="1" applyFill="1" applyBorder="1" applyAlignment="1">
      <alignment horizontal="right"/>
      <protection/>
    </xf>
    <xf numFmtId="1" fontId="34" fillId="0" borderId="10" xfId="88" applyNumberFormat="1" applyFont="1" applyFill="1" applyBorder="1" applyAlignment="1">
      <alignment horizontal="right"/>
      <protection/>
    </xf>
    <xf numFmtId="176" fontId="34" fillId="0" borderId="10" xfId="46" applyNumberFormat="1" applyFont="1" applyFill="1" applyBorder="1" applyAlignment="1">
      <alignment vertical="center"/>
    </xf>
    <xf numFmtId="176" fontId="34" fillId="0" borderId="10" xfId="51" applyNumberFormat="1" applyFont="1" applyFill="1" applyBorder="1" applyAlignment="1">
      <alignment/>
    </xf>
    <xf numFmtId="176" fontId="34" fillId="35" borderId="10" xfId="46" applyNumberFormat="1" applyFont="1" applyFill="1" applyBorder="1" applyAlignment="1">
      <alignment horizontal="right" vertical="center"/>
    </xf>
    <xf numFmtId="176" fontId="34" fillId="35" borderId="10" xfId="67" applyNumberFormat="1" applyFont="1" applyFill="1" applyBorder="1" applyAlignment="1">
      <alignment horizontal="right" vertical="center"/>
    </xf>
    <xf numFmtId="176" fontId="34" fillId="0" borderId="10" xfId="46" applyNumberFormat="1" applyFont="1" applyFill="1" applyBorder="1" applyAlignment="1">
      <alignment horizontal="right" vertical="center"/>
    </xf>
    <xf numFmtId="176" fontId="34" fillId="0" borderId="10" xfId="51" applyNumberFormat="1" applyFont="1" applyFill="1" applyBorder="1" applyAlignment="1">
      <alignment horizontal="right"/>
    </xf>
    <xf numFmtId="175" fontId="34" fillId="0" borderId="10" xfId="51" applyNumberFormat="1" applyFont="1" applyFill="1" applyBorder="1" applyAlignment="1">
      <alignment horizontal="right"/>
    </xf>
    <xf numFmtId="176" fontId="34" fillId="0" borderId="10" xfId="46" applyNumberFormat="1" applyFont="1" applyFill="1" applyBorder="1" applyAlignment="1">
      <alignment horizontal="right"/>
    </xf>
    <xf numFmtId="175" fontId="34" fillId="0" borderId="10" xfId="67" applyNumberFormat="1" applyFont="1" applyFill="1" applyBorder="1" applyAlignment="1">
      <alignment horizontal="right"/>
    </xf>
    <xf numFmtId="175" fontId="34" fillId="0" borderId="10" xfId="46" applyNumberFormat="1" applyFont="1" applyFill="1" applyBorder="1" applyAlignment="1">
      <alignment horizontal="right"/>
    </xf>
    <xf numFmtId="175" fontId="26" fillId="0" borderId="10" xfId="67" applyNumberFormat="1" applyFont="1" applyFill="1" applyBorder="1" applyAlignment="1">
      <alignment horizontal="right"/>
    </xf>
    <xf numFmtId="175" fontId="26" fillId="35" borderId="10" xfId="56" applyNumberFormat="1" applyFont="1" applyFill="1" applyBorder="1" applyAlignment="1">
      <alignment horizontal="center"/>
    </xf>
    <xf numFmtId="175" fontId="34" fillId="35" borderId="10" xfId="56" applyNumberFormat="1" applyFont="1" applyFill="1" applyBorder="1" applyAlignment="1">
      <alignment horizontal="center"/>
    </xf>
    <xf numFmtId="175" fontId="34" fillId="0" borderId="10" xfId="56" applyNumberFormat="1" applyFont="1" applyFill="1" applyBorder="1" applyAlignment="1">
      <alignment horizontal="center"/>
    </xf>
    <xf numFmtId="175" fontId="34" fillId="0" borderId="10" xfId="56" applyNumberFormat="1" applyFont="1" applyFill="1" applyBorder="1" applyAlignment="1">
      <alignment/>
    </xf>
    <xf numFmtId="176" fontId="34" fillId="0" borderId="10" xfId="67" applyNumberFormat="1" applyFont="1" applyFill="1" applyBorder="1" applyAlignment="1">
      <alignment horizontal="right"/>
    </xf>
    <xf numFmtId="176" fontId="34" fillId="0" borderId="10" xfId="53" applyNumberFormat="1" applyFont="1" applyFill="1" applyBorder="1" applyAlignment="1">
      <alignment horizontal="right"/>
    </xf>
    <xf numFmtId="173" fontId="34" fillId="0" borderId="10" xfId="67" applyNumberFormat="1" applyFont="1" applyFill="1" applyBorder="1" applyAlignment="1">
      <alignment horizontal="right" vertical="center"/>
    </xf>
    <xf numFmtId="173" fontId="34" fillId="0" borderId="10" xfId="56" applyNumberFormat="1" applyFont="1" applyFill="1" applyBorder="1" applyAlignment="1">
      <alignment horizontal="right" vertical="center"/>
    </xf>
    <xf numFmtId="176" fontId="34" fillId="0" borderId="10" xfId="48" applyNumberFormat="1" applyFont="1" applyFill="1" applyBorder="1" applyAlignment="1">
      <alignment horizontal="right"/>
    </xf>
    <xf numFmtId="175" fontId="34" fillId="0" borderId="10" xfId="48" applyNumberFormat="1" applyFont="1" applyFill="1" applyBorder="1" applyAlignment="1">
      <alignment horizontal="right"/>
    </xf>
    <xf numFmtId="175" fontId="26" fillId="0" borderId="10" xfId="51" applyNumberFormat="1" applyFont="1" applyFill="1" applyBorder="1" applyAlignment="1">
      <alignment horizontal="right"/>
    </xf>
    <xf numFmtId="175" fontId="26" fillId="35" borderId="10" xfId="51" applyNumberFormat="1" applyFont="1" applyFill="1" applyBorder="1" applyAlignment="1">
      <alignment/>
    </xf>
    <xf numFmtId="175" fontId="26" fillId="35" borderId="10" xfId="51" applyNumberFormat="1" applyFont="1" applyFill="1" applyBorder="1" applyAlignment="1">
      <alignment horizontal="right"/>
    </xf>
    <xf numFmtId="175" fontId="34" fillId="35" borderId="10" xfId="51" applyNumberFormat="1" applyFont="1" applyFill="1" applyBorder="1" applyAlignment="1">
      <alignment/>
    </xf>
    <xf numFmtId="175" fontId="34" fillId="35" borderId="10" xfId="51" applyNumberFormat="1" applyFont="1" applyFill="1" applyBorder="1" applyAlignment="1">
      <alignment horizontal="right"/>
    </xf>
    <xf numFmtId="176" fontId="34" fillId="35" borderId="10" xfId="67" applyNumberFormat="1" applyFont="1" applyFill="1" applyBorder="1" applyAlignment="1">
      <alignment/>
    </xf>
    <xf numFmtId="175" fontId="34" fillId="35" borderId="10" xfId="67" applyNumberFormat="1" applyFont="1" applyFill="1" applyBorder="1" applyAlignment="1">
      <alignment horizontal="right"/>
    </xf>
    <xf numFmtId="176" fontId="34" fillId="35" borderId="10" xfId="51" applyNumberFormat="1" applyFont="1" applyFill="1" applyBorder="1" applyAlignment="1">
      <alignment/>
    </xf>
    <xf numFmtId="176" fontId="34" fillId="35" borderId="10" xfId="51" applyNumberFormat="1" applyFont="1" applyFill="1" applyBorder="1" applyAlignment="1">
      <alignment horizontal="right"/>
    </xf>
    <xf numFmtId="175" fontId="34" fillId="35" borderId="10" xfId="48" applyNumberFormat="1" applyFont="1" applyFill="1" applyBorder="1" applyAlignment="1">
      <alignment horizontal="center"/>
    </xf>
    <xf numFmtId="176" fontId="34" fillId="35" borderId="10" xfId="67" applyNumberFormat="1" applyFont="1" applyFill="1" applyBorder="1" applyAlignment="1">
      <alignment horizontal="center"/>
    </xf>
    <xf numFmtId="175" fontId="26" fillId="0" borderId="10" xfId="51" applyNumberFormat="1" applyFont="1" applyFill="1" applyBorder="1" applyAlignment="1">
      <alignment/>
    </xf>
    <xf numFmtId="175" fontId="34" fillId="0" borderId="10" xfId="51" applyNumberFormat="1" applyFont="1" applyFill="1" applyBorder="1" applyAlignment="1">
      <alignment/>
    </xf>
    <xf numFmtId="175" fontId="34" fillId="0" borderId="10" xfId="67" applyNumberFormat="1" applyFont="1" applyFill="1" applyBorder="1" applyAlignment="1">
      <alignment/>
    </xf>
    <xf numFmtId="175" fontId="34" fillId="0" borderId="10" xfId="51" applyNumberFormat="1" applyFont="1" applyFill="1" applyBorder="1" applyAlignment="1">
      <alignment horizontal="right" vertical="center"/>
    </xf>
    <xf numFmtId="175" fontId="34" fillId="0" borderId="10" xfId="67" applyNumberFormat="1" applyFont="1" applyFill="1" applyBorder="1" applyAlignment="1">
      <alignment horizontal="right" vertical="center"/>
    </xf>
    <xf numFmtId="176" fontId="34" fillId="0" borderId="10" xfId="67" applyNumberFormat="1" applyFont="1" applyFill="1" applyBorder="1" applyAlignment="1">
      <alignment horizontal="right" vertical="center"/>
    </xf>
    <xf numFmtId="173" fontId="34" fillId="0" borderId="10" xfId="51" applyNumberFormat="1" applyFont="1" applyFill="1" applyBorder="1" applyAlignment="1">
      <alignment horizontal="right"/>
    </xf>
    <xf numFmtId="175" fontId="26" fillId="0" borderId="10" xfId="67" applyNumberFormat="1" applyFont="1" applyFill="1" applyBorder="1" applyAlignment="1">
      <alignment horizontal="right" vertical="center"/>
    </xf>
    <xf numFmtId="175" fontId="34" fillId="0" borderId="10" xfId="67" applyNumberFormat="1" applyFont="1" applyFill="1" applyBorder="1" applyAlignment="1">
      <alignment vertical="center"/>
    </xf>
    <xf numFmtId="175" fontId="26" fillId="0" borderId="10" xfId="67" applyNumberFormat="1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34" fillId="0" borderId="10" xfId="0" applyFont="1" applyFill="1" applyBorder="1" applyAlignment="1">
      <alignment horizontal="right"/>
    </xf>
    <xf numFmtId="0" fontId="34" fillId="0" borderId="10" xfId="0" applyFont="1" applyFill="1" applyBorder="1" applyAlignment="1">
      <alignment/>
    </xf>
    <xf numFmtId="175" fontId="34" fillId="0" borderId="10" xfId="50" applyNumberFormat="1" applyFont="1" applyFill="1" applyBorder="1" applyAlignment="1">
      <alignment horizontal="right" vertical="center"/>
    </xf>
    <xf numFmtId="175" fontId="34" fillId="0" borderId="10" xfId="51" applyNumberFormat="1" applyFont="1" applyFill="1" applyBorder="1" applyAlignment="1">
      <alignment horizontal="right" vertical="center" wrapText="1"/>
    </xf>
    <xf numFmtId="0" fontId="34" fillId="0" borderId="10" xfId="88" applyFont="1" applyFill="1" applyBorder="1" applyAlignment="1">
      <alignment horizontal="left"/>
      <protection/>
    </xf>
    <xf numFmtId="3" fontId="9" fillId="0" borderId="10" xfId="86" applyNumberFormat="1" applyFont="1" applyFill="1" applyBorder="1" applyAlignment="1">
      <alignment horizontal="center"/>
      <protection/>
    </xf>
    <xf numFmtId="174" fontId="9" fillId="0" borderId="10" xfId="86" applyNumberFormat="1" applyFont="1" applyFill="1" applyBorder="1" applyAlignment="1">
      <alignment horizontal="center"/>
      <protection/>
    </xf>
    <xf numFmtId="177" fontId="9" fillId="0" borderId="10" xfId="86" applyNumberFormat="1" applyFont="1" applyFill="1" applyBorder="1" applyAlignment="1">
      <alignment horizontal="center"/>
      <protection/>
    </xf>
    <xf numFmtId="2" fontId="9" fillId="0" borderId="10" xfId="89" applyNumberFormat="1" applyFont="1" applyFill="1" applyBorder="1" applyAlignment="1">
      <alignment horizontal="center"/>
      <protection/>
    </xf>
    <xf numFmtId="0" fontId="8" fillId="0" borderId="10" xfId="86" applyFont="1" applyFill="1" applyBorder="1" applyAlignment="1">
      <alignment horizontal="center"/>
      <protection/>
    </xf>
    <xf numFmtId="1" fontId="8" fillId="0" borderId="10" xfId="89" applyNumberFormat="1" applyFont="1" applyFill="1" applyBorder="1" applyAlignment="1">
      <alignment horizontal="center"/>
      <protection/>
    </xf>
    <xf numFmtId="1" fontId="9" fillId="0" borderId="10" xfId="86" applyNumberFormat="1" applyFont="1" applyFill="1" applyBorder="1" applyAlignment="1">
      <alignment horizontal="center"/>
      <protection/>
    </xf>
    <xf numFmtId="0" fontId="9" fillId="0" borderId="10" xfId="86" applyFont="1" applyFill="1" applyBorder="1" applyAlignment="1">
      <alignment horizontal="center"/>
      <protection/>
    </xf>
    <xf numFmtId="0" fontId="8" fillId="0" borderId="10" xfId="89" applyFont="1" applyFill="1" applyBorder="1" applyAlignment="1">
      <alignment horizontal="center"/>
      <protection/>
    </xf>
    <xf numFmtId="1" fontId="9" fillId="0" borderId="10" xfId="89" applyNumberFormat="1" applyFont="1" applyFill="1" applyBorder="1" applyAlignment="1">
      <alignment horizontal="center"/>
      <protection/>
    </xf>
    <xf numFmtId="49" fontId="9" fillId="0" borderId="10" xfId="89" applyNumberFormat="1" applyFont="1" applyFill="1" applyBorder="1" applyAlignment="1">
      <alignment horizontal="center"/>
      <protection/>
    </xf>
    <xf numFmtId="0" fontId="9" fillId="0" borderId="10" xfId="89" applyFont="1" applyFill="1" applyBorder="1" applyAlignment="1">
      <alignment horizontal="center"/>
      <protection/>
    </xf>
    <xf numFmtId="177" fontId="9" fillId="0" borderId="10" xfId="89" applyNumberFormat="1" applyFont="1" applyFill="1" applyBorder="1" applyAlignment="1">
      <alignment horizontal="center"/>
      <protection/>
    </xf>
    <xf numFmtId="3" fontId="34" fillId="0" borderId="10" xfId="52" applyNumberFormat="1" applyFont="1" applyFill="1" applyBorder="1" applyAlignment="1">
      <alignment horizontal="center" vertical="center" wrapText="1"/>
    </xf>
    <xf numFmtId="176" fontId="34" fillId="35" borderId="10" xfId="67" applyNumberFormat="1" applyFont="1" applyFill="1" applyBorder="1" applyAlignment="1">
      <alignment horizontal="right"/>
    </xf>
    <xf numFmtId="174" fontId="34" fillId="0" borderId="10" xfId="52" applyNumberFormat="1" applyFont="1" applyFill="1" applyBorder="1" applyAlignment="1">
      <alignment horizontal="center" vertical="center" wrapText="1"/>
    </xf>
    <xf numFmtId="49" fontId="9" fillId="0" borderId="10" xfId="86" applyNumberFormat="1" applyFont="1" applyFill="1" applyBorder="1" applyAlignment="1">
      <alignment horizontal="center"/>
      <protection/>
    </xf>
    <xf numFmtId="177" fontId="9" fillId="0" borderId="10" xfId="0" applyNumberFormat="1" applyFont="1" applyFill="1" applyBorder="1" applyAlignment="1">
      <alignment horizontal="center"/>
    </xf>
    <xf numFmtId="0" fontId="9" fillId="0" borderId="10" xfId="89" applyFont="1" applyFill="1" applyBorder="1" applyAlignment="1">
      <alignment horizontal="left" wrapText="1"/>
      <protection/>
    </xf>
    <xf numFmtId="3" fontId="8" fillId="0" borderId="0" xfId="89" applyNumberFormat="1" applyFont="1" applyFill="1">
      <alignment/>
      <protection/>
    </xf>
    <xf numFmtId="0" fontId="9" fillId="0" borderId="0" xfId="89" applyFont="1" applyFill="1">
      <alignment/>
      <protection/>
    </xf>
    <xf numFmtId="0" fontId="14" fillId="0" borderId="10" xfId="89" applyFont="1" applyFill="1" applyBorder="1" applyAlignment="1">
      <alignment horizontal="left" wrapText="1"/>
      <protection/>
    </xf>
    <xf numFmtId="3" fontId="9" fillId="35" borderId="10" xfId="0" applyNumberFormat="1" applyFont="1" applyFill="1" applyBorder="1" applyAlignment="1">
      <alignment horizontal="center"/>
    </xf>
    <xf numFmtId="2" fontId="9" fillId="0" borderId="10" xfId="46" applyNumberFormat="1" applyFont="1" applyBorder="1" applyAlignment="1">
      <alignment horizontal="center"/>
    </xf>
    <xf numFmtId="1" fontId="9" fillId="0" borderId="10" xfId="46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center"/>
    </xf>
    <xf numFmtId="0" fontId="3" fillId="0" borderId="17" xfId="0" applyFont="1" applyFill="1" applyBorder="1" applyAlignment="1" applyProtection="1">
      <alignment horizontal="justify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right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175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/>
    </xf>
    <xf numFmtId="181" fontId="26" fillId="0" borderId="10" xfId="0" applyNumberFormat="1" applyFont="1" applyFill="1" applyBorder="1" applyAlignment="1">
      <alignment/>
    </xf>
    <xf numFmtId="191" fontId="26" fillId="0" borderId="10" xfId="0" applyNumberFormat="1" applyFont="1" applyFill="1" applyBorder="1" applyAlignment="1">
      <alignment/>
    </xf>
    <xf numFmtId="175" fontId="26" fillId="0" borderId="10" xfId="0" applyNumberFormat="1" applyFont="1" applyFill="1" applyBorder="1" applyAlignment="1">
      <alignment horizontal="right"/>
    </xf>
    <xf numFmtId="175" fontId="26" fillId="35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wrapText="1"/>
    </xf>
    <xf numFmtId="173" fontId="26" fillId="0" borderId="10" xfId="46" applyNumberFormat="1" applyFont="1" applyFill="1" applyBorder="1" applyAlignment="1">
      <alignment horizontal="right"/>
    </xf>
    <xf numFmtId="173" fontId="26" fillId="35" borderId="10" xfId="67" applyNumberFormat="1" applyFont="1" applyFill="1" applyBorder="1" applyAlignment="1">
      <alignment horizontal="right"/>
    </xf>
    <xf numFmtId="175" fontId="26" fillId="35" borderId="10" xfId="67" applyNumberFormat="1" applyFont="1" applyFill="1" applyBorder="1" applyAlignment="1">
      <alignment horizontal="right"/>
    </xf>
    <xf numFmtId="173" fontId="34" fillId="35" borderId="10" xfId="67" applyNumberFormat="1" applyFont="1" applyFill="1" applyBorder="1" applyAlignment="1">
      <alignment horizontal="right"/>
    </xf>
    <xf numFmtId="0" fontId="34" fillId="0" borderId="10" xfId="0" applyFont="1" applyFill="1" applyBorder="1" applyAlignment="1" quotePrefix="1">
      <alignment horizontal="center"/>
    </xf>
    <xf numFmtId="0" fontId="34" fillId="0" borderId="10" xfId="0" applyFont="1" applyFill="1" applyBorder="1" applyAlignment="1">
      <alignment wrapText="1"/>
    </xf>
    <xf numFmtId="4" fontId="34" fillId="0" borderId="10" xfId="0" applyNumberFormat="1" applyFont="1" applyFill="1" applyBorder="1" applyAlignment="1">
      <alignment horizontal="right"/>
    </xf>
    <xf numFmtId="176" fontId="26" fillId="35" borderId="10" xfId="67" applyNumberFormat="1" applyFont="1" applyFill="1" applyBorder="1" applyAlignment="1">
      <alignment horizontal="right"/>
    </xf>
    <xf numFmtId="175" fontId="9" fillId="35" borderId="10" xfId="51" applyNumberFormat="1" applyFont="1" applyFill="1" applyBorder="1" applyAlignment="1">
      <alignment/>
    </xf>
    <xf numFmtId="176" fontId="9" fillId="35" borderId="10" xfId="51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175" fontId="15" fillId="0" borderId="10" xfId="46" applyNumberFormat="1" applyFont="1" applyFill="1" applyBorder="1" applyAlignment="1">
      <alignment horizontal="right"/>
    </xf>
    <xf numFmtId="173" fontId="15" fillId="0" borderId="10" xfId="51" applyNumberFormat="1" applyFont="1" applyFill="1" applyBorder="1" applyAlignment="1">
      <alignment horizontal="right"/>
    </xf>
    <xf numFmtId="173" fontId="34" fillId="0" borderId="10" xfId="51" applyNumberFormat="1" applyFont="1" applyFill="1" applyBorder="1" applyAlignment="1">
      <alignment horizontal="right"/>
    </xf>
    <xf numFmtId="180" fontId="26" fillId="0" borderId="10" xfId="0" applyNumberFormat="1" applyFont="1" applyFill="1" applyBorder="1" applyAlignment="1">
      <alignment horizontal="center"/>
    </xf>
    <xf numFmtId="0" fontId="79" fillId="35" borderId="10" xfId="0" applyFont="1" applyFill="1" applyBorder="1" applyAlignment="1">
      <alignment horizontal="center" vertical="center"/>
    </xf>
    <xf numFmtId="175" fontId="34" fillId="0" borderId="10" xfId="67" applyNumberFormat="1" applyFont="1" applyFill="1" applyBorder="1" applyAlignment="1">
      <alignment/>
    </xf>
    <xf numFmtId="176" fontId="34" fillId="0" borderId="10" xfId="67" applyNumberFormat="1" applyFont="1" applyFill="1" applyBorder="1" applyAlignment="1">
      <alignment/>
    </xf>
    <xf numFmtId="176" fontId="15" fillId="0" borderId="10" xfId="51" applyNumberFormat="1" applyFont="1" applyFill="1" applyBorder="1" applyAlignment="1">
      <alignment horizontal="right"/>
    </xf>
    <xf numFmtId="173" fontId="34" fillId="0" borderId="10" xfId="67" applyNumberFormat="1" applyFont="1" applyFill="1" applyBorder="1" applyAlignment="1">
      <alignment/>
    </xf>
    <xf numFmtId="175" fontId="15" fillId="0" borderId="10" xfId="51" applyNumberFormat="1" applyFont="1" applyFill="1" applyBorder="1" applyAlignment="1">
      <alignment/>
    </xf>
    <xf numFmtId="173" fontId="15" fillId="0" borderId="10" xfId="51" applyNumberFormat="1" applyFont="1" applyFill="1" applyBorder="1" applyAlignment="1">
      <alignment/>
    </xf>
    <xf numFmtId="175" fontId="15" fillId="35" borderId="10" xfId="51" applyNumberFormat="1" applyFont="1" applyFill="1" applyBorder="1" applyAlignment="1">
      <alignment horizontal="right"/>
    </xf>
    <xf numFmtId="0" fontId="34" fillId="0" borderId="0" xfId="0" applyFont="1" applyFill="1" applyAlignment="1">
      <alignment/>
    </xf>
    <xf numFmtId="173" fontId="34" fillId="0" borderId="10" xfId="51" applyNumberFormat="1" applyFont="1" applyFill="1" applyBorder="1" applyAlignment="1">
      <alignment/>
    </xf>
    <xf numFmtId="176" fontId="26" fillId="0" borderId="10" xfId="51" applyNumberFormat="1" applyFont="1" applyFill="1" applyBorder="1" applyAlignment="1">
      <alignment horizontal="right"/>
    </xf>
    <xf numFmtId="176" fontId="26" fillId="35" borderId="10" xfId="51" applyNumberFormat="1" applyFont="1" applyFill="1" applyBorder="1" applyAlignment="1">
      <alignment horizontal="right"/>
    </xf>
    <xf numFmtId="175" fontId="26" fillId="35" borderId="10" xfId="51" applyNumberFormat="1" applyFont="1" applyFill="1" applyBorder="1" applyAlignment="1">
      <alignment horizontal="right"/>
    </xf>
    <xf numFmtId="0" fontId="33" fillId="35" borderId="10" xfId="0" applyFont="1" applyFill="1" applyBorder="1" applyAlignment="1">
      <alignment horizontal="right"/>
    </xf>
    <xf numFmtId="176" fontId="34" fillId="0" borderId="10" xfId="51" applyNumberFormat="1" applyFont="1" applyFill="1" applyBorder="1" applyAlignment="1">
      <alignment/>
    </xf>
    <xf numFmtId="173" fontId="78" fillId="0" borderId="10" xfId="46" applyNumberFormat="1" applyFont="1" applyFill="1" applyBorder="1" applyAlignment="1">
      <alignment/>
    </xf>
    <xf numFmtId="173" fontId="15" fillId="0" borderId="10" xfId="67" applyNumberFormat="1" applyFont="1" applyFill="1" applyBorder="1" applyAlignment="1">
      <alignment horizontal="right"/>
    </xf>
    <xf numFmtId="176" fontId="15" fillId="0" borderId="10" xfId="67" applyNumberFormat="1" applyFont="1" applyFill="1" applyBorder="1" applyAlignment="1">
      <alignment horizontal="right"/>
    </xf>
    <xf numFmtId="175" fontId="15" fillId="0" borderId="10" xfId="67" applyNumberFormat="1" applyFont="1" applyFill="1" applyBorder="1" applyAlignment="1">
      <alignment horizontal="right"/>
    </xf>
    <xf numFmtId="173" fontId="34" fillId="34" borderId="10" xfId="66" applyNumberFormat="1" applyFont="1" applyFill="1" applyBorder="1" applyAlignment="1">
      <alignment horizontal="center"/>
    </xf>
    <xf numFmtId="0" fontId="34" fillId="0" borderId="16" xfId="0" applyFont="1" applyFill="1" applyBorder="1" applyAlignment="1" quotePrefix="1">
      <alignment horizontal="center"/>
    </xf>
    <xf numFmtId="0" fontId="34" fillId="0" borderId="16" xfId="0" applyFont="1" applyFill="1" applyBorder="1" applyAlignment="1">
      <alignment wrapText="1"/>
    </xf>
    <xf numFmtId="0" fontId="34" fillId="0" borderId="16" xfId="0" applyFont="1" applyFill="1" applyBorder="1" applyAlignment="1">
      <alignment horizontal="center"/>
    </xf>
    <xf numFmtId="175" fontId="34" fillId="35" borderId="16" xfId="51" applyNumberFormat="1" applyFont="1" applyFill="1" applyBorder="1" applyAlignment="1">
      <alignment horizontal="right"/>
    </xf>
    <xf numFmtId="176" fontId="34" fillId="35" borderId="16" xfId="51" applyNumberFormat="1" applyFont="1" applyFill="1" applyBorder="1" applyAlignment="1">
      <alignment horizontal="right"/>
    </xf>
    <xf numFmtId="0" fontId="31" fillId="35" borderId="0" xfId="0" applyFont="1" applyFill="1" applyAlignment="1">
      <alignment/>
    </xf>
    <xf numFmtId="0" fontId="1" fillId="35" borderId="11" xfId="0" applyFont="1" applyFill="1" applyBorder="1" applyAlignment="1">
      <alignment/>
    </xf>
    <xf numFmtId="177" fontId="2" fillId="35" borderId="10" xfId="0" applyNumberFormat="1" applyFont="1" applyFill="1" applyBorder="1" applyAlignment="1">
      <alignment/>
    </xf>
    <xf numFmtId="177" fontId="3" fillId="35" borderId="10" xfId="0" applyNumberFormat="1" applyFont="1" applyFill="1" applyBorder="1" applyAlignment="1">
      <alignment vertical="center"/>
    </xf>
    <xf numFmtId="0" fontId="23" fillId="35" borderId="0" xfId="0" applyFont="1" applyFill="1" applyAlignment="1">
      <alignment/>
    </xf>
    <xf numFmtId="0" fontId="31" fillId="35" borderId="0" xfId="0" applyFont="1" applyFill="1" applyAlignment="1">
      <alignment/>
    </xf>
    <xf numFmtId="177" fontId="2" fillId="35" borderId="10" xfId="44" applyNumberFormat="1" applyFont="1" applyFill="1" applyBorder="1">
      <alignment/>
      <protection/>
    </xf>
    <xf numFmtId="1" fontId="2" fillId="35" borderId="10" xfId="44" applyNumberFormat="1" applyFont="1" applyFill="1" applyBorder="1">
      <alignment/>
      <protection/>
    </xf>
    <xf numFmtId="177" fontId="3" fillId="35" borderId="10" xfId="44" applyNumberFormat="1" applyFont="1" applyFill="1" applyBorder="1">
      <alignment/>
      <protection/>
    </xf>
    <xf numFmtId="175" fontId="3" fillId="35" borderId="10" xfId="65" applyNumberFormat="1" applyFont="1" applyFill="1" applyBorder="1" applyAlignment="1">
      <alignment/>
    </xf>
    <xf numFmtId="173" fontId="3" fillId="35" borderId="10" xfId="65" applyNumberFormat="1" applyFont="1" applyFill="1" applyBorder="1" applyAlignment="1">
      <alignment/>
    </xf>
    <xf numFmtId="176" fontId="3" fillId="35" borderId="10" xfId="65" applyNumberFormat="1" applyFont="1" applyFill="1" applyBorder="1" applyAlignment="1">
      <alignment/>
    </xf>
    <xf numFmtId="0" fontId="19" fillId="0" borderId="0" xfId="89" applyFont="1" applyFill="1" applyAlignment="1">
      <alignment horizontal="center"/>
      <protection/>
    </xf>
    <xf numFmtId="0" fontId="19" fillId="35" borderId="0" xfId="89" applyFont="1" applyFill="1" applyAlignment="1">
      <alignment horizontal="center"/>
      <protection/>
    </xf>
    <xf numFmtId="0" fontId="5" fillId="0" borderId="0" xfId="89" applyFont="1" applyFill="1">
      <alignment/>
      <protection/>
    </xf>
    <xf numFmtId="0" fontId="10" fillId="0" borderId="0" xfId="89" applyFont="1" applyFill="1" applyAlignment="1">
      <alignment horizontal="center"/>
      <protection/>
    </xf>
    <xf numFmtId="0" fontId="10" fillId="0" borderId="0" xfId="89" applyFont="1" applyFill="1">
      <alignment/>
      <protection/>
    </xf>
    <xf numFmtId="0" fontId="7" fillId="0" borderId="0" xfId="0" applyFont="1" applyFill="1" applyAlignment="1">
      <alignment vertical="center" wrapText="1"/>
    </xf>
    <xf numFmtId="0" fontId="48" fillId="0" borderId="11" xfId="90" applyFont="1" applyFill="1" applyBorder="1" applyAlignment="1">
      <alignment horizontal="center" vertical="center" wrapText="1"/>
      <protection/>
    </xf>
    <xf numFmtId="0" fontId="48" fillId="0" borderId="11" xfId="90" applyFont="1" applyFill="1" applyBorder="1" applyAlignment="1">
      <alignment horizontal="left" vertical="center" wrapText="1"/>
      <protection/>
    </xf>
    <xf numFmtId="0" fontId="48" fillId="0" borderId="0" xfId="90" applyFont="1" applyFill="1" applyBorder="1" applyAlignment="1">
      <alignment horizontal="center" vertical="center" wrapText="1"/>
      <protection/>
    </xf>
    <xf numFmtId="0" fontId="48" fillId="35" borderId="0" xfId="90" applyFont="1" applyFill="1" applyBorder="1" applyAlignment="1">
      <alignment horizontal="center" vertical="center" wrapText="1"/>
      <protection/>
    </xf>
    <xf numFmtId="0" fontId="2" fillId="0" borderId="0" xfId="89" applyFont="1" applyFill="1">
      <alignment/>
      <protection/>
    </xf>
    <xf numFmtId="0" fontId="8" fillId="0" borderId="10" xfId="89" applyFont="1" applyFill="1" applyBorder="1" applyAlignment="1">
      <alignment horizontal="left" wrapText="1"/>
      <protection/>
    </xf>
    <xf numFmtId="0" fontId="8" fillId="35" borderId="10" xfId="89" applyFont="1" applyFill="1" applyBorder="1" applyAlignment="1">
      <alignment horizontal="center"/>
      <protection/>
    </xf>
    <xf numFmtId="0" fontId="8" fillId="0" borderId="0" xfId="89" applyFont="1" applyFill="1">
      <alignment/>
      <protection/>
    </xf>
    <xf numFmtId="0" fontId="9" fillId="0" borderId="10" xfId="89" applyFont="1" applyFill="1" applyBorder="1" applyAlignment="1">
      <alignment horizontal="justify" wrapText="1"/>
      <protection/>
    </xf>
    <xf numFmtId="0" fontId="8" fillId="0" borderId="10" xfId="89" applyFont="1" applyFill="1" applyBorder="1" applyAlignment="1" quotePrefix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/>
    </xf>
    <xf numFmtId="0" fontId="9" fillId="0" borderId="10" xfId="89" applyFont="1" applyFill="1" applyBorder="1" applyAlignment="1">
      <alignment horizontal="center" vertical="center"/>
      <protection/>
    </xf>
    <xf numFmtId="2" fontId="9" fillId="0" borderId="10" xfId="0" applyNumberFormat="1" applyFont="1" applyFill="1" applyBorder="1" applyAlignment="1">
      <alignment horizontal="center"/>
    </xf>
    <xf numFmtId="177" fontId="9" fillId="35" borderId="10" xfId="89" applyNumberFormat="1" applyFont="1" applyFill="1" applyBorder="1" applyAlignment="1">
      <alignment horizontal="center"/>
      <protection/>
    </xf>
    <xf numFmtId="2" fontId="9" fillId="0" borderId="0" xfId="89" applyNumberFormat="1" applyFont="1" applyFill="1">
      <alignment/>
      <protection/>
    </xf>
    <xf numFmtId="0" fontId="8" fillId="0" borderId="0" xfId="89" applyFont="1" applyFill="1" applyAlignment="1">
      <alignment horizontal="center"/>
      <protection/>
    </xf>
    <xf numFmtId="175" fontId="9" fillId="0" borderId="0" xfId="51" applyNumberFormat="1" applyFont="1" applyFill="1" applyAlignment="1">
      <alignment/>
    </xf>
    <xf numFmtId="0" fontId="9" fillId="35" borderId="10" xfId="89" applyFont="1" applyFill="1" applyBorder="1" applyAlignment="1">
      <alignment horizontal="center"/>
      <protection/>
    </xf>
    <xf numFmtId="175" fontId="9" fillId="0" borderId="10" xfId="67" applyNumberFormat="1" applyFont="1" applyFill="1" applyBorder="1" applyAlignment="1">
      <alignment horizontal="center"/>
    </xf>
    <xf numFmtId="175" fontId="9" fillId="34" borderId="10" xfId="67" applyNumberFormat="1" applyFont="1" applyFill="1" applyBorder="1" applyAlignment="1">
      <alignment horizontal="center"/>
    </xf>
    <xf numFmtId="175" fontId="9" fillId="35" borderId="10" xfId="46" applyNumberFormat="1" applyFont="1" applyFill="1" applyBorder="1" applyAlignment="1">
      <alignment horizontal="center"/>
    </xf>
    <xf numFmtId="0" fontId="8" fillId="0" borderId="10" xfId="89" applyFont="1" applyFill="1" applyBorder="1" applyAlignment="1">
      <alignment horizontal="justify" wrapText="1"/>
      <protection/>
    </xf>
    <xf numFmtId="0" fontId="9" fillId="35" borderId="10" xfId="86" applyFont="1" applyFill="1" applyBorder="1" applyAlignment="1">
      <alignment horizontal="center"/>
      <protection/>
    </xf>
    <xf numFmtId="0" fontId="9" fillId="0" borderId="10" xfId="85" applyFont="1" applyFill="1" applyBorder="1" applyAlignment="1">
      <alignment horizontal="center"/>
      <protection/>
    </xf>
    <xf numFmtId="2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9" fillId="34" borderId="0" xfId="89" applyFont="1" applyFill="1">
      <alignment/>
      <protection/>
    </xf>
    <xf numFmtId="165" fontId="9" fillId="0" borderId="0" xfId="89" applyNumberFormat="1" applyFont="1" applyFill="1">
      <alignment/>
      <protection/>
    </xf>
    <xf numFmtId="174" fontId="9" fillId="0" borderId="10" xfId="0" applyNumberFormat="1" applyFont="1" applyFill="1" applyBorder="1" applyAlignment="1">
      <alignment horizontal="center"/>
    </xf>
    <xf numFmtId="3" fontId="9" fillId="35" borderId="10" xfId="86" applyNumberFormat="1" applyFont="1" applyFill="1" applyBorder="1" applyAlignment="1">
      <alignment horizontal="center"/>
      <protection/>
    </xf>
    <xf numFmtId="0" fontId="14" fillId="0" borderId="10" xfId="89" applyFont="1" applyFill="1" applyBorder="1" applyAlignment="1">
      <alignment horizontal="justify" wrapText="1"/>
      <protection/>
    </xf>
    <xf numFmtId="4" fontId="9" fillId="0" borderId="10" xfId="89" applyNumberFormat="1" applyFont="1" applyFill="1" applyBorder="1" applyAlignment="1">
      <alignment horizontal="center"/>
      <protection/>
    </xf>
    <xf numFmtId="174" fontId="9" fillId="0" borderId="10" xfId="89" applyNumberFormat="1" applyFont="1" applyFill="1" applyBorder="1" applyAlignment="1">
      <alignment horizontal="center"/>
      <protection/>
    </xf>
    <xf numFmtId="4" fontId="9" fillId="35" borderId="10" xfId="89" applyNumberFormat="1" applyFont="1" applyFill="1" applyBorder="1" applyAlignment="1">
      <alignment horizontal="center"/>
      <protection/>
    </xf>
    <xf numFmtId="0" fontId="9" fillId="0" borderId="10" xfId="89" applyFont="1" applyFill="1" applyBorder="1">
      <alignment/>
      <protection/>
    </xf>
    <xf numFmtId="175" fontId="9" fillId="0" borderId="10" xfId="89" applyNumberFormat="1" applyFont="1" applyFill="1" applyBorder="1" applyAlignment="1">
      <alignment horizontal="center"/>
      <protection/>
    </xf>
    <xf numFmtId="175" fontId="9" fillId="35" borderId="10" xfId="89" applyNumberFormat="1" applyFont="1" applyFill="1" applyBorder="1" applyAlignment="1">
      <alignment horizontal="center"/>
      <protection/>
    </xf>
    <xf numFmtId="175" fontId="8" fillId="0" borderId="10" xfId="89" applyNumberFormat="1" applyFont="1" applyFill="1" applyBorder="1" applyAlignment="1">
      <alignment horizontal="center"/>
      <protection/>
    </xf>
    <xf numFmtId="3" fontId="8" fillId="35" borderId="10" xfId="86" applyNumberFormat="1" applyFont="1" applyFill="1" applyBorder="1" applyAlignment="1">
      <alignment horizontal="center"/>
      <protection/>
    </xf>
    <xf numFmtId="2" fontId="8" fillId="0" borderId="10" xfId="89" applyNumberFormat="1" applyFont="1" applyFill="1" applyBorder="1" applyAlignment="1">
      <alignment horizontal="center"/>
      <protection/>
    </xf>
    <xf numFmtId="174" fontId="9" fillId="0" borderId="10" xfId="86" applyNumberFormat="1" applyFont="1" applyFill="1" applyBorder="1" applyAlignment="1" quotePrefix="1">
      <alignment horizontal="center"/>
      <protection/>
    </xf>
    <xf numFmtId="3" fontId="9" fillId="0" borderId="10" xfId="89" applyNumberFormat="1" applyFont="1" applyFill="1" applyBorder="1" applyAlignment="1">
      <alignment horizontal="center"/>
      <protection/>
    </xf>
    <xf numFmtId="173" fontId="9" fillId="0" borderId="0" xfId="89" applyNumberFormat="1" applyFont="1" applyFill="1">
      <alignment/>
      <protection/>
    </xf>
    <xf numFmtId="0" fontId="9" fillId="0" borderId="10" xfId="89" applyFont="1" applyFill="1" applyBorder="1" applyAlignment="1" quotePrefix="1">
      <alignment horizontal="justify" wrapText="1"/>
      <protection/>
    </xf>
    <xf numFmtId="0" fontId="9" fillId="0" borderId="10" xfId="89" applyFont="1" applyFill="1" applyBorder="1" applyAlignment="1">
      <alignment horizontal="center" wrapText="1"/>
      <protection/>
    </xf>
    <xf numFmtId="3" fontId="9" fillId="0" borderId="10" xfId="89" applyNumberFormat="1" applyFont="1" applyFill="1" applyBorder="1" applyAlignment="1">
      <alignment horizontal="center" vertical="center"/>
      <protection/>
    </xf>
    <xf numFmtId="49" fontId="9" fillId="35" borderId="10" xfId="86" applyNumberFormat="1" applyFont="1" applyFill="1" applyBorder="1" applyAlignment="1">
      <alignment horizontal="center"/>
      <protection/>
    </xf>
    <xf numFmtId="4" fontId="9" fillId="0" borderId="10" xfId="83" applyNumberFormat="1" applyFont="1" applyFill="1" applyBorder="1" applyAlignment="1">
      <alignment horizontal="center"/>
      <protection/>
    </xf>
    <xf numFmtId="4" fontId="9" fillId="35" borderId="10" xfId="83" applyNumberFormat="1" applyFont="1" applyFill="1" applyBorder="1" applyAlignment="1">
      <alignment horizontal="center"/>
      <protection/>
    </xf>
    <xf numFmtId="3" fontId="9" fillId="0" borderId="10" xfId="83" applyNumberFormat="1" applyFont="1" applyFill="1" applyBorder="1" applyAlignment="1">
      <alignment horizontal="center"/>
      <protection/>
    </xf>
    <xf numFmtId="4" fontId="9" fillId="0" borderId="10" xfId="86" applyNumberFormat="1" applyFont="1" applyFill="1" applyBorder="1" applyAlignment="1">
      <alignment horizontal="center"/>
      <protection/>
    </xf>
    <xf numFmtId="3" fontId="9" fillId="35" borderId="10" xfId="89" applyNumberFormat="1" applyFont="1" applyFill="1" applyBorder="1" applyAlignment="1">
      <alignment horizontal="center"/>
      <protection/>
    </xf>
    <xf numFmtId="3" fontId="9" fillId="35" borderId="10" xfId="83" applyNumberFormat="1" applyFont="1" applyFill="1" applyBorder="1" applyAlignment="1">
      <alignment horizontal="center"/>
      <protection/>
    </xf>
    <xf numFmtId="177" fontId="9" fillId="0" borderId="0" xfId="89" applyNumberFormat="1" applyFont="1" applyFill="1">
      <alignment/>
      <protection/>
    </xf>
    <xf numFmtId="2" fontId="9" fillId="0" borderId="10" xfId="89" applyNumberFormat="1" applyFont="1" applyFill="1" applyBorder="1" applyAlignment="1">
      <alignment horizontal="center" vertical="center" wrapText="1"/>
      <protection/>
    </xf>
    <xf numFmtId="0" fontId="9" fillId="0" borderId="0" xfId="89" applyFont="1" applyFill="1" applyAlignment="1">
      <alignment vertical="center" wrapText="1"/>
      <protection/>
    </xf>
    <xf numFmtId="175" fontId="9" fillId="0" borderId="10" xfId="46" applyNumberFormat="1" applyFont="1" applyFill="1" applyBorder="1" applyAlignment="1">
      <alignment horizontal="center"/>
    </xf>
    <xf numFmtId="175" fontId="9" fillId="0" borderId="10" xfId="46" applyNumberFormat="1" applyFont="1" applyFill="1" applyBorder="1" applyAlignment="1">
      <alignment/>
    </xf>
    <xf numFmtId="0" fontId="8" fillId="0" borderId="10" xfId="89" applyFont="1" applyFill="1" applyBorder="1" applyAlignment="1">
      <alignment horizontal="center" vertical="center" wrapText="1"/>
      <protection/>
    </xf>
    <xf numFmtId="0" fontId="9" fillId="0" borderId="10" xfId="89" applyFont="1" applyFill="1" applyBorder="1" applyAlignment="1">
      <alignment horizontal="justify" vertical="center" wrapText="1"/>
      <protection/>
    </xf>
    <xf numFmtId="0" fontId="9" fillId="0" borderId="10" xfId="89" applyFont="1" applyFill="1" applyBorder="1" applyAlignment="1">
      <alignment horizontal="center" vertical="center" wrapText="1"/>
      <protection/>
    </xf>
    <xf numFmtId="175" fontId="8" fillId="0" borderId="10" xfId="46" applyNumberFormat="1" applyFont="1" applyFill="1" applyBorder="1" applyAlignment="1">
      <alignment horizontal="center"/>
    </xf>
    <xf numFmtId="177" fontId="8" fillId="0" borderId="10" xfId="0" applyNumberFormat="1" applyFont="1" applyFill="1" applyBorder="1" applyAlignment="1">
      <alignment horizontal="center"/>
    </xf>
    <xf numFmtId="0" fontId="4" fillId="0" borderId="0" xfId="89" applyFont="1" applyFill="1">
      <alignment/>
      <protection/>
    </xf>
    <xf numFmtId="0" fontId="17" fillId="0" borderId="10" xfId="89" applyFont="1" applyFill="1" applyBorder="1" applyAlignment="1">
      <alignment horizontal="center" vertical="center"/>
      <protection/>
    </xf>
    <xf numFmtId="0" fontId="17" fillId="0" borderId="10" xfId="89" applyFont="1" applyFill="1" applyBorder="1" applyAlignment="1">
      <alignment horizontal="justify" vertical="center" wrapText="1"/>
      <protection/>
    </xf>
    <xf numFmtId="0" fontId="5" fillId="0" borderId="0" xfId="89" applyFont="1" applyFill="1" applyAlignment="1">
      <alignment horizontal="center"/>
      <protection/>
    </xf>
    <xf numFmtId="0" fontId="5" fillId="0" borderId="0" xfId="89" applyFont="1" applyFill="1" applyAlignment="1">
      <alignment horizontal="left"/>
      <protection/>
    </xf>
    <xf numFmtId="0" fontId="5" fillId="35" borderId="0" xfId="89" applyFont="1" applyFill="1" applyAlignment="1">
      <alignment horizontal="center"/>
      <protection/>
    </xf>
    <xf numFmtId="0" fontId="112" fillId="0" borderId="0" xfId="0" applyFont="1" applyFill="1" applyAlignment="1">
      <alignment/>
    </xf>
    <xf numFmtId="0" fontId="113" fillId="0" borderId="0" xfId="0" applyFont="1" applyFill="1" applyAlignment="1">
      <alignment/>
    </xf>
    <xf numFmtId="175" fontId="34" fillId="35" borderId="10" xfId="67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8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87" applyFont="1" applyFill="1" applyAlignment="1">
      <alignment horizontal="center" vertical="center"/>
      <protection/>
    </xf>
    <xf numFmtId="0" fontId="29" fillId="0" borderId="0" xfId="87" applyFont="1" applyFill="1" applyAlignment="1">
      <alignment horizontal="center" vertical="top"/>
      <protection/>
    </xf>
    <xf numFmtId="0" fontId="25" fillId="0" borderId="11" xfId="0" applyFont="1" applyFill="1" applyBorder="1" applyAlignment="1">
      <alignment horizontal="center"/>
    </xf>
    <xf numFmtId="0" fontId="8" fillId="0" borderId="10" xfId="87" applyFont="1" applyFill="1" applyBorder="1" applyAlignment="1">
      <alignment horizontal="center" vertical="center" wrapText="1"/>
      <protection/>
    </xf>
    <xf numFmtId="0" fontId="8" fillId="0" borderId="10" xfId="87" applyFont="1" applyFill="1" applyBorder="1" applyAlignment="1">
      <alignment horizontal="center"/>
      <protection/>
    </xf>
    <xf numFmtId="49" fontId="8" fillId="0" borderId="10" xfId="87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8" fillId="35" borderId="16" xfId="87" applyFont="1" applyFill="1" applyBorder="1" applyAlignment="1">
      <alignment horizontal="center" vertical="center" wrapText="1"/>
      <protection/>
    </xf>
    <xf numFmtId="0" fontId="8" fillId="35" borderId="20" xfId="87" applyFont="1" applyFill="1" applyBorder="1" applyAlignment="1">
      <alignment horizontal="center" vertical="center" wrapText="1"/>
      <protection/>
    </xf>
    <xf numFmtId="0" fontId="8" fillId="35" borderId="17" xfId="87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0" borderId="0" xfId="89" applyFont="1" applyFill="1" applyAlignment="1">
      <alignment horizontal="center"/>
      <protection/>
    </xf>
    <xf numFmtId="0" fontId="18" fillId="0" borderId="0" xfId="89" applyFont="1" applyFill="1" applyAlignment="1">
      <alignment horizontal="left"/>
      <protection/>
    </xf>
    <xf numFmtId="0" fontId="18" fillId="0" borderId="0" xfId="86" applyFont="1" applyFill="1" applyAlignment="1">
      <alignment horizontal="center"/>
      <protection/>
    </xf>
    <xf numFmtId="0" fontId="2" fillId="0" borderId="16" xfId="89" applyFont="1" applyFill="1" applyBorder="1" applyAlignment="1">
      <alignment horizontal="center" vertical="center" wrapText="1"/>
      <protection/>
    </xf>
    <xf numFmtId="0" fontId="2" fillId="0" borderId="20" xfId="89" applyFont="1" applyFill="1" applyBorder="1" applyAlignment="1">
      <alignment horizontal="center" vertical="center" wrapText="1"/>
      <protection/>
    </xf>
    <xf numFmtId="0" fontId="2" fillId="0" borderId="17" xfId="89" applyFont="1" applyFill="1" applyBorder="1" applyAlignment="1">
      <alignment horizontal="center" vertical="center" wrapText="1"/>
      <protection/>
    </xf>
    <xf numFmtId="0" fontId="8" fillId="0" borderId="16" xfId="87" applyFont="1" applyFill="1" applyBorder="1" applyAlignment="1">
      <alignment horizontal="center" vertical="center" wrapText="1"/>
      <protection/>
    </xf>
    <xf numFmtId="0" fontId="8" fillId="0" borderId="20" xfId="87" applyFont="1" applyFill="1" applyBorder="1" applyAlignment="1">
      <alignment horizontal="center" vertical="center" wrapText="1"/>
      <protection/>
    </xf>
    <xf numFmtId="0" fontId="8" fillId="0" borderId="17" xfId="87" applyFont="1" applyFill="1" applyBorder="1" applyAlignment="1">
      <alignment horizontal="center" vertical="center" wrapText="1"/>
      <protection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75" fontId="9" fillId="0" borderId="10" xfId="58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34" borderId="1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175" fontId="33" fillId="0" borderId="0" xfId="46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175" fontId="3" fillId="0" borderId="10" xfId="67" applyNumberFormat="1" applyFont="1" applyFill="1" applyBorder="1" applyAlignment="1">
      <alignment horizontal="center"/>
    </xf>
    <xf numFmtId="175" fontId="3" fillId="0" borderId="10" xfId="46" applyNumberFormat="1" applyFont="1" applyFill="1" applyBorder="1" applyAlignment="1">
      <alignment horizontal="center"/>
    </xf>
    <xf numFmtId="3" fontId="3" fillId="0" borderId="10" xfId="67" applyNumberFormat="1" applyFont="1" applyFill="1" applyBorder="1" applyAlignment="1">
      <alignment horizontal="right" vertical="center"/>
    </xf>
    <xf numFmtId="3" fontId="2" fillId="0" borderId="10" xfId="67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justify" wrapText="1"/>
    </xf>
    <xf numFmtId="177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 quotePrefix="1">
      <alignment horizontal="justify" wrapText="1"/>
    </xf>
    <xf numFmtId="2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 vertical="center"/>
    </xf>
    <xf numFmtId="175" fontId="3" fillId="0" borderId="10" xfId="51" applyNumberFormat="1" applyFont="1" applyFill="1" applyBorder="1" applyAlignment="1" quotePrefix="1">
      <alignment horizontal="right" vertical="center"/>
    </xf>
    <xf numFmtId="3" fontId="3" fillId="0" borderId="10" xfId="0" applyNumberFormat="1" applyFont="1" applyFill="1" applyBorder="1" applyAlignment="1" quotePrefix="1">
      <alignment horizontal="right" vertical="center"/>
    </xf>
    <xf numFmtId="0" fontId="3" fillId="0" borderId="10" xfId="0" applyFont="1" applyFill="1" applyBorder="1" applyAlignment="1">
      <alignment horizontal="center" wrapText="1"/>
    </xf>
    <xf numFmtId="175" fontId="3" fillId="0" borderId="10" xfId="0" applyNumberFormat="1" applyFont="1" applyFill="1" applyBorder="1" applyAlignment="1">
      <alignment horizontal="right"/>
    </xf>
    <xf numFmtId="175" fontId="9" fillId="0" borderId="10" xfId="46" applyNumberFormat="1" applyFont="1" applyFill="1" applyBorder="1" applyAlignment="1">
      <alignment horizontal="right" vertical="center" shrinkToFit="1"/>
    </xf>
    <xf numFmtId="175" fontId="3" fillId="0" borderId="10" xfId="67" applyNumberFormat="1" applyFont="1" applyFill="1" applyBorder="1" applyAlignment="1">
      <alignment horizontal="right" shrinkToFit="1"/>
    </xf>
    <xf numFmtId="3" fontId="3" fillId="0" borderId="10" xfId="0" applyNumberFormat="1" applyFont="1" applyFill="1" applyBorder="1" applyAlignment="1">
      <alignment horizontal="right" shrinkToFit="1"/>
    </xf>
    <xf numFmtId="174" fontId="3" fillId="0" borderId="10" xfId="0" applyNumberFormat="1" applyFont="1" applyFill="1" applyBorder="1" applyAlignment="1">
      <alignment horizontal="right" shrinkToFit="1"/>
    </xf>
    <xf numFmtId="4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3" fillId="0" borderId="10" xfId="80" applyFont="1" applyFill="1" applyBorder="1" applyAlignment="1">
      <alignment horizontal="center" vertical="center"/>
      <protection/>
    </xf>
    <xf numFmtId="3" fontId="3" fillId="0" borderId="10" xfId="0" applyNumberFormat="1" applyFont="1" applyFill="1" applyBorder="1" applyAlignment="1">
      <alignment/>
    </xf>
    <xf numFmtId="2" fontId="3" fillId="0" borderId="10" xfId="80" applyNumberFormat="1" applyFont="1" applyFill="1" applyBorder="1" applyAlignment="1">
      <alignment horizontal="justify" vertical="center" wrapText="1"/>
      <protection/>
    </xf>
    <xf numFmtId="176" fontId="3" fillId="0" borderId="10" xfId="51" applyNumberFormat="1" applyFont="1" applyFill="1" applyBorder="1" applyAlignment="1">
      <alignment horizontal="right" vertical="center"/>
    </xf>
    <xf numFmtId="2" fontId="3" fillId="0" borderId="10" xfId="80" applyNumberFormat="1" applyFont="1" applyFill="1" applyBorder="1" applyAlignment="1" quotePrefix="1">
      <alignment horizontal="justify" vertical="center" wrapText="1"/>
      <protection/>
    </xf>
    <xf numFmtId="176" fontId="3" fillId="0" borderId="10" xfId="0" applyNumberFormat="1" applyFon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/>
    </xf>
    <xf numFmtId="0" fontId="17" fillId="0" borderId="16" xfId="87" applyFont="1" applyFill="1" applyBorder="1" applyAlignment="1">
      <alignment horizontal="center" vertical="center" wrapText="1"/>
      <protection/>
    </xf>
    <xf numFmtId="49" fontId="17" fillId="0" borderId="16" xfId="87" applyNumberFormat="1" applyFont="1" applyFill="1" applyBorder="1" applyAlignment="1">
      <alignment horizontal="center" vertical="center" wrapText="1"/>
      <protection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7" fillId="0" borderId="20" xfId="87" applyFont="1" applyFill="1" applyBorder="1" applyAlignment="1">
      <alignment horizontal="center" vertical="center" wrapText="1"/>
      <protection/>
    </xf>
    <xf numFmtId="49" fontId="17" fillId="0" borderId="20" xfId="87" applyNumberFormat="1" applyFont="1" applyFill="1" applyBorder="1" applyAlignment="1">
      <alignment horizontal="center" vertical="center" wrapText="1"/>
      <protection/>
    </xf>
    <xf numFmtId="0" fontId="17" fillId="0" borderId="2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87" applyFont="1" applyFill="1" applyBorder="1" applyAlignment="1">
      <alignment horizontal="center" vertical="center" wrapText="1"/>
      <protection/>
    </xf>
    <xf numFmtId="49" fontId="17" fillId="0" borderId="17" xfId="87" applyNumberFormat="1" applyFont="1" applyFill="1" applyBorder="1" applyAlignment="1">
      <alignment horizontal="center" vertical="center" wrapText="1"/>
      <protection/>
    </xf>
    <xf numFmtId="0" fontId="17" fillId="0" borderId="17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26" fillId="0" borderId="10" xfId="87" applyFont="1" applyFill="1" applyBorder="1" applyAlignment="1">
      <alignment horizontal="center"/>
      <protection/>
    </xf>
    <xf numFmtId="49" fontId="26" fillId="0" borderId="10" xfId="87" applyNumberFormat="1" applyFont="1" applyFill="1" applyBorder="1" applyAlignment="1">
      <alignment wrapText="1"/>
      <protection/>
    </xf>
    <xf numFmtId="175" fontId="26" fillId="0" borderId="10" xfId="46" applyNumberFormat="1" applyFont="1" applyFill="1" applyBorder="1" applyAlignment="1">
      <alignment horizontal="center"/>
    </xf>
    <xf numFmtId="173" fontId="26" fillId="0" borderId="10" xfId="46" applyNumberFormat="1" applyFont="1" applyFill="1" applyBorder="1" applyAlignment="1">
      <alignment horizontal="center"/>
    </xf>
    <xf numFmtId="49" fontId="26" fillId="0" borderId="10" xfId="87" applyNumberFormat="1" applyFont="1" applyFill="1" applyBorder="1" applyAlignment="1" quotePrefix="1">
      <alignment wrapText="1"/>
      <protection/>
    </xf>
    <xf numFmtId="176" fontId="26" fillId="0" borderId="10" xfId="46" applyNumberFormat="1" applyFont="1" applyFill="1" applyBorder="1" applyAlignment="1">
      <alignment horizontal="right" vertical="center"/>
    </xf>
    <xf numFmtId="175" fontId="26" fillId="0" borderId="10" xfId="46" applyNumberFormat="1" applyFont="1" applyFill="1" applyBorder="1" applyAlignment="1">
      <alignment horizontal="right"/>
    </xf>
    <xf numFmtId="175" fontId="26" fillId="0" borderId="10" xfId="46" applyNumberFormat="1" applyFont="1" applyFill="1" applyBorder="1" applyAlignment="1">
      <alignment/>
    </xf>
    <xf numFmtId="173" fontId="34" fillId="0" borderId="10" xfId="46" applyNumberFormat="1" applyFont="1" applyFill="1" applyBorder="1" applyAlignment="1">
      <alignment horizontal="center"/>
    </xf>
    <xf numFmtId="173" fontId="34" fillId="0" borderId="10" xfId="84" applyNumberFormat="1" applyFont="1" applyFill="1" applyBorder="1" applyAlignment="1">
      <alignment horizontal="right"/>
      <protection/>
    </xf>
    <xf numFmtId="173" fontId="26" fillId="0" borderId="10" xfId="46" applyNumberFormat="1" applyFont="1" applyFill="1" applyBorder="1" applyAlignment="1">
      <alignment horizontal="center" vertical="center"/>
    </xf>
    <xf numFmtId="173" fontId="26" fillId="0" borderId="10" xfId="84" applyNumberFormat="1" applyFont="1" applyFill="1" applyBorder="1" applyAlignment="1">
      <alignment horizontal="center" vertical="center"/>
      <protection/>
    </xf>
    <xf numFmtId="0" fontId="34" fillId="0" borderId="10" xfId="87" applyFont="1" applyFill="1" applyBorder="1" applyAlignment="1">
      <alignment horizontal="center"/>
      <protection/>
    </xf>
    <xf numFmtId="49" fontId="34" fillId="0" borderId="10" xfId="87" applyNumberFormat="1" applyFont="1" applyFill="1" applyBorder="1" applyAlignment="1" quotePrefix="1">
      <alignment wrapText="1"/>
      <protection/>
    </xf>
    <xf numFmtId="175" fontId="34" fillId="0" borderId="10" xfId="46" applyNumberFormat="1" applyFont="1" applyFill="1" applyBorder="1" applyAlignment="1">
      <alignment horizontal="center"/>
    </xf>
    <xf numFmtId="173" fontId="34" fillId="0" borderId="10" xfId="46" applyNumberFormat="1" applyFont="1" applyFill="1" applyBorder="1" applyAlignment="1">
      <alignment horizontal="center" vertical="center"/>
    </xf>
    <xf numFmtId="173" fontId="34" fillId="0" borderId="10" xfId="84" applyNumberFormat="1" applyFont="1" applyFill="1" applyBorder="1" applyAlignment="1">
      <alignment horizontal="center" vertical="center"/>
      <protection/>
    </xf>
    <xf numFmtId="176" fontId="34" fillId="0" borderId="10" xfId="84" applyNumberFormat="1" applyFont="1" applyFill="1" applyBorder="1" applyAlignment="1">
      <alignment horizontal="center" vertical="center"/>
      <protection/>
    </xf>
    <xf numFmtId="173" fontId="26" fillId="0" borderId="10" xfId="46" applyNumberFormat="1" applyFont="1" applyFill="1" applyBorder="1" applyAlignment="1">
      <alignment vertical="center"/>
    </xf>
    <xf numFmtId="175" fontId="34" fillId="0" borderId="10" xfId="84" applyNumberFormat="1" applyFont="1" applyFill="1" applyBorder="1" applyAlignment="1">
      <alignment horizontal="right"/>
      <protection/>
    </xf>
    <xf numFmtId="0" fontId="34" fillId="0" borderId="10" xfId="87" applyFont="1" applyFill="1" applyBorder="1" applyAlignment="1">
      <alignment horizontal="right"/>
      <protection/>
    </xf>
    <xf numFmtId="174" fontId="34" fillId="0" borderId="10" xfId="0" applyNumberFormat="1" applyFont="1" applyFill="1" applyBorder="1" applyAlignment="1">
      <alignment horizontal="right" vertical="center"/>
    </xf>
    <xf numFmtId="4" fontId="34" fillId="0" borderId="10" xfId="0" applyNumberFormat="1" applyFont="1" applyFill="1" applyBorder="1" applyAlignment="1">
      <alignment horizontal="right" vertical="center"/>
    </xf>
    <xf numFmtId="176" fontId="34" fillId="0" borderId="10" xfId="67" applyNumberFormat="1" applyFont="1" applyFill="1" applyBorder="1" applyAlignment="1">
      <alignment vertical="center"/>
    </xf>
    <xf numFmtId="175" fontId="34" fillId="0" borderId="10" xfId="46" applyNumberFormat="1" applyFont="1" applyFill="1" applyBorder="1" applyAlignment="1">
      <alignment horizontal="right" vertical="center"/>
    </xf>
    <xf numFmtId="49" fontId="34" fillId="0" borderId="10" xfId="87" applyNumberFormat="1" applyFont="1" applyFill="1" applyBorder="1" applyAlignment="1" quotePrefix="1">
      <alignment vertical="center" wrapText="1"/>
      <protection/>
    </xf>
    <xf numFmtId="49" fontId="34" fillId="0" borderId="10" xfId="87" applyNumberFormat="1" applyFont="1" applyFill="1" applyBorder="1" applyAlignment="1" quotePrefix="1">
      <alignment horizontal="left" wrapText="1"/>
      <protection/>
    </xf>
    <xf numFmtId="49" fontId="34" fillId="0" borderId="10" xfId="87" applyNumberFormat="1" applyFont="1" applyFill="1" applyBorder="1" applyAlignment="1">
      <alignment wrapText="1"/>
      <protection/>
    </xf>
    <xf numFmtId="175" fontId="26" fillId="35" borderId="10" xfId="67" applyNumberFormat="1" applyFont="1" applyFill="1" applyBorder="1" applyAlignment="1">
      <alignment horizontal="center"/>
    </xf>
    <xf numFmtId="173" fontId="26" fillId="0" borderId="10" xfId="84" applyNumberFormat="1" applyFont="1" applyFill="1" applyBorder="1" applyAlignment="1">
      <alignment horizontal="right"/>
      <protection/>
    </xf>
    <xf numFmtId="0" fontId="34" fillId="0" borderId="10" xfId="87" applyFont="1" applyFill="1" applyBorder="1" applyAlignment="1">
      <alignment horizontal="center" vertical="center"/>
      <protection/>
    </xf>
    <xf numFmtId="175" fontId="34" fillId="0" borderId="10" xfId="67" applyNumberFormat="1" applyFont="1" applyFill="1" applyBorder="1" applyAlignment="1">
      <alignment horizontal="center"/>
    </xf>
    <xf numFmtId="176" fontId="34" fillId="0" borderId="10" xfId="46" applyNumberFormat="1" applyFont="1" applyFill="1" applyBorder="1" applyAlignment="1">
      <alignment horizontal="center"/>
    </xf>
    <xf numFmtId="175" fontId="26" fillId="0" borderId="10" xfId="67" applyNumberFormat="1" applyFont="1" applyFill="1" applyBorder="1" applyAlignment="1">
      <alignment horizontal="center"/>
    </xf>
    <xf numFmtId="174" fontId="34" fillId="0" borderId="10" xfId="0" applyNumberFormat="1" applyFont="1" applyFill="1" applyBorder="1" applyAlignment="1">
      <alignment horizontal="right"/>
    </xf>
    <xf numFmtId="173" fontId="34" fillId="0" borderId="10" xfId="46" applyNumberFormat="1" applyFont="1" applyFill="1" applyBorder="1" applyAlignment="1">
      <alignment horizontal="right" vertical="center"/>
    </xf>
    <xf numFmtId="173" fontId="34" fillId="0" borderId="10" xfId="48" applyNumberFormat="1" applyFont="1" applyFill="1" applyBorder="1" applyAlignment="1">
      <alignment horizontal="right"/>
    </xf>
    <xf numFmtId="0" fontId="34" fillId="35" borderId="10" xfId="88" applyFont="1" applyFill="1" applyBorder="1" applyAlignment="1">
      <alignment horizontal="center"/>
      <protection/>
    </xf>
    <xf numFmtId="49" fontId="34" fillId="35" borderId="10" xfId="88" applyNumberFormat="1" applyFont="1" applyFill="1" applyBorder="1" applyAlignment="1" quotePrefix="1">
      <alignment wrapText="1"/>
      <protection/>
    </xf>
    <xf numFmtId="173" fontId="34" fillId="35" borderId="10" xfId="67" applyNumberFormat="1" applyFont="1" applyFill="1" applyBorder="1" applyAlignment="1">
      <alignment horizontal="right" vertical="center"/>
    </xf>
    <xf numFmtId="4" fontId="34" fillId="35" borderId="10" xfId="44" applyNumberFormat="1" applyFont="1" applyFill="1" applyBorder="1" applyAlignment="1">
      <alignment horizontal="right" vertical="center"/>
      <protection/>
    </xf>
    <xf numFmtId="176" fontId="34" fillId="0" borderId="10" xfId="48" applyNumberFormat="1" applyFont="1" applyFill="1" applyBorder="1" applyAlignment="1">
      <alignment horizontal="right" vertical="center"/>
    </xf>
    <xf numFmtId="176" fontId="26" fillId="0" borderId="10" xfId="46" applyNumberFormat="1" applyFont="1" applyFill="1" applyBorder="1" applyAlignment="1">
      <alignment horizontal="center"/>
    </xf>
    <xf numFmtId="3" fontId="34" fillId="0" borderId="10" xfId="0" applyNumberFormat="1" applyFont="1" applyFill="1" applyBorder="1" applyAlignment="1">
      <alignment horizontal="right" vertical="center"/>
    </xf>
    <xf numFmtId="175" fontId="26" fillId="0" borderId="10" xfId="84" applyNumberFormat="1" applyFont="1" applyFill="1" applyBorder="1" applyAlignment="1">
      <alignment horizontal="right"/>
      <protection/>
    </xf>
    <xf numFmtId="0" fontId="34" fillId="0" borderId="10" xfId="87" applyFont="1" applyFill="1" applyBorder="1" applyAlignment="1" quotePrefix="1">
      <alignment horizontal="center"/>
      <protection/>
    </xf>
    <xf numFmtId="175" fontId="34" fillId="0" borderId="10" xfId="46" applyNumberFormat="1" applyFont="1" applyFill="1" applyBorder="1" applyAlignment="1">
      <alignment vertical="center"/>
    </xf>
    <xf numFmtId="175" fontId="26" fillId="0" borderId="10" xfId="46" applyNumberFormat="1" applyFont="1" applyFill="1" applyBorder="1" applyAlignment="1">
      <alignment horizontal="right" vertical="center"/>
    </xf>
    <xf numFmtId="49" fontId="34" fillId="0" borderId="10" xfId="87" applyNumberFormat="1" applyFont="1" applyFill="1" applyBorder="1" applyAlignment="1">
      <alignment horizontal="left" wrapText="1"/>
      <protection/>
    </xf>
    <xf numFmtId="49" fontId="34" fillId="0" borderId="10" xfId="87" applyNumberFormat="1" applyFont="1" applyFill="1" applyBorder="1" applyAlignment="1">
      <alignment horizontal="center" wrapText="1"/>
      <protection/>
    </xf>
    <xf numFmtId="173" fontId="34" fillId="0" borderId="10" xfId="46" applyNumberFormat="1" applyFont="1" applyFill="1" applyBorder="1" applyAlignment="1">
      <alignment horizontal="right"/>
    </xf>
    <xf numFmtId="0" fontId="34" fillId="0" borderId="10" xfId="87" applyFont="1" applyFill="1" applyBorder="1" applyAlignment="1">
      <alignment vertical="center"/>
      <protection/>
    </xf>
    <xf numFmtId="0" fontId="34" fillId="0" borderId="10" xfId="87" applyFont="1" applyFill="1" applyBorder="1" applyAlignment="1">
      <alignment horizontal="right" vertical="center"/>
      <protection/>
    </xf>
    <xf numFmtId="49" fontId="34" fillId="0" borderId="10" xfId="87" applyNumberFormat="1" applyFont="1" applyFill="1" applyBorder="1" applyAlignment="1">
      <alignment horizontal="left" vertical="center" wrapText="1"/>
      <protection/>
    </xf>
    <xf numFmtId="0" fontId="26" fillId="0" borderId="10" xfId="87" applyFont="1" applyFill="1" applyBorder="1" applyAlignment="1">
      <alignment horizontal="center" wrapText="1"/>
      <protection/>
    </xf>
    <xf numFmtId="176" fontId="34" fillId="0" borderId="10" xfId="0" applyNumberFormat="1" applyFont="1" applyFill="1" applyBorder="1" applyAlignment="1">
      <alignment horizontal="right"/>
    </xf>
    <xf numFmtId="0" fontId="34" fillId="0" borderId="10" xfId="87" applyFont="1" applyFill="1" applyBorder="1" applyAlignment="1">
      <alignment horizontal="center" vertical="center" wrapText="1"/>
      <protection/>
    </xf>
    <xf numFmtId="175" fontId="34" fillId="0" borderId="10" xfId="49" applyNumberFormat="1" applyFont="1" applyFill="1" applyBorder="1" applyAlignment="1">
      <alignment horizontal="right" vertical="center"/>
    </xf>
    <xf numFmtId="173" fontId="34" fillId="0" borderId="10" xfId="51" applyNumberFormat="1" applyFont="1" applyFill="1" applyBorder="1" applyAlignment="1">
      <alignment horizontal="right" vertical="center" wrapText="1"/>
    </xf>
    <xf numFmtId="175" fontId="26" fillId="0" borderId="10" xfId="51" applyNumberFormat="1" applyFont="1" applyFill="1" applyBorder="1" applyAlignment="1">
      <alignment horizontal="right" vertical="center" wrapText="1"/>
    </xf>
    <xf numFmtId="0" fontId="26" fillId="0" borderId="10" xfId="87" applyFont="1" applyFill="1" applyBorder="1" applyAlignment="1">
      <alignment horizontal="center" vertical="center"/>
      <protection/>
    </xf>
    <xf numFmtId="176" fontId="34" fillId="0" borderId="10" xfId="0" applyNumberFormat="1" applyFont="1" applyFill="1" applyBorder="1" applyAlignment="1">
      <alignment horizontal="right" vertical="center"/>
    </xf>
    <xf numFmtId="175" fontId="26" fillId="0" borderId="10" xfId="67" applyNumberFormat="1" applyFont="1" applyFill="1" applyBorder="1" applyAlignment="1">
      <alignment vertical="center"/>
    </xf>
    <xf numFmtId="49" fontId="34" fillId="0" borderId="10" xfId="87" applyNumberFormat="1" applyFont="1" applyFill="1" applyBorder="1" applyAlignment="1" quotePrefix="1">
      <alignment horizontal="justify" vertical="center" wrapText="1"/>
      <protection/>
    </xf>
    <xf numFmtId="176" fontId="34" fillId="0" borderId="10" xfId="51" applyNumberFormat="1" applyFont="1" applyFill="1" applyBorder="1" applyAlignment="1">
      <alignment horizontal="right" vertical="center" wrapText="1"/>
    </xf>
    <xf numFmtId="177" fontId="34" fillId="0" borderId="10" xfId="49" applyNumberFormat="1" applyFont="1" applyFill="1" applyBorder="1" applyAlignment="1">
      <alignment horizontal="right" vertical="center"/>
    </xf>
    <xf numFmtId="174" fontId="34" fillId="0" borderId="10" xfId="52" applyNumberFormat="1" applyFont="1" applyFill="1" applyBorder="1" applyAlignment="1">
      <alignment vertical="center" wrapText="1"/>
    </xf>
    <xf numFmtId="3" fontId="34" fillId="35" borderId="10" xfId="52" applyNumberFormat="1" applyFont="1" applyFill="1" applyBorder="1" applyAlignment="1">
      <alignment vertical="center" wrapText="1"/>
    </xf>
    <xf numFmtId="3" fontId="34" fillId="0" borderId="10" xfId="52" applyNumberFormat="1" applyFont="1" applyFill="1" applyBorder="1" applyAlignment="1">
      <alignment vertical="center" wrapText="1"/>
    </xf>
    <xf numFmtId="176" fontId="34" fillId="0" borderId="10" xfId="49" applyNumberFormat="1" applyFont="1" applyFill="1" applyBorder="1" applyAlignment="1">
      <alignment vertical="center"/>
    </xf>
    <xf numFmtId="174" fontId="34" fillId="0" borderId="10" xfId="67" applyNumberFormat="1" applyFont="1" applyFill="1" applyBorder="1" applyAlignment="1">
      <alignment vertical="center"/>
    </xf>
    <xf numFmtId="3" fontId="34" fillId="35" borderId="10" xfId="67" applyNumberFormat="1" applyFont="1" applyFill="1" applyBorder="1" applyAlignment="1">
      <alignment vertical="center"/>
    </xf>
    <xf numFmtId="3" fontId="34" fillId="0" borderId="10" xfId="67" applyNumberFormat="1" applyFont="1" applyFill="1" applyBorder="1" applyAlignment="1">
      <alignment vertical="center"/>
    </xf>
    <xf numFmtId="1" fontId="34" fillId="0" borderId="10" xfId="49" applyNumberFormat="1" applyFont="1" applyFill="1" applyBorder="1" applyAlignment="1">
      <alignment horizontal="right" vertical="center"/>
    </xf>
    <xf numFmtId="3" fontId="34" fillId="0" borderId="16" xfId="52" applyNumberFormat="1" applyFont="1" applyFill="1" applyBorder="1" applyAlignment="1">
      <alignment vertical="center" wrapText="1"/>
    </xf>
    <xf numFmtId="3" fontId="34" fillId="35" borderId="26" xfId="48" applyNumberFormat="1" applyFont="1" applyFill="1" applyBorder="1" applyAlignment="1">
      <alignment vertical="center"/>
    </xf>
    <xf numFmtId="174" fontId="34" fillId="35" borderId="26" xfId="48" applyNumberFormat="1" applyFont="1" applyFill="1" applyBorder="1" applyAlignment="1">
      <alignment vertical="center"/>
    </xf>
    <xf numFmtId="174" fontId="34" fillId="0" borderId="26" xfId="48" applyNumberFormat="1" applyFont="1" applyFill="1" applyBorder="1" applyAlignment="1">
      <alignment vertical="center"/>
    </xf>
    <xf numFmtId="3" fontId="34" fillId="0" borderId="26" xfId="48" applyNumberFormat="1" applyFont="1" applyFill="1" applyBorder="1" applyAlignment="1">
      <alignment vertical="center"/>
    </xf>
    <xf numFmtId="3" fontId="34" fillId="0" borderId="10" xfId="48" applyNumberFormat="1" applyFont="1" applyFill="1" applyBorder="1" applyAlignment="1">
      <alignment vertical="center"/>
    </xf>
    <xf numFmtId="3" fontId="34" fillId="35" borderId="10" xfId="48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center"/>
    </xf>
    <xf numFmtId="0" fontId="3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 quotePrefix="1">
      <alignment horizontal="center" vertical="center"/>
    </xf>
    <xf numFmtId="2" fontId="3" fillId="0" borderId="10" xfId="0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 quotePrefix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 vertical="center" wrapText="1" indent="1"/>
    </xf>
    <xf numFmtId="175" fontId="3" fillId="0" borderId="10" xfId="46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vertical="center"/>
    </xf>
    <xf numFmtId="177" fontId="3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center"/>
    </xf>
    <xf numFmtId="175" fontId="3" fillId="0" borderId="10" xfId="46" applyNumberFormat="1" applyFont="1" applyBorder="1" applyAlignment="1">
      <alignment horizontal="right" vertical="center"/>
    </xf>
    <xf numFmtId="174" fontId="3" fillId="0" borderId="10" xfId="0" applyNumberFormat="1" applyFont="1" applyFill="1" applyBorder="1" applyAlignment="1">
      <alignment horizontal="right" vertical="center"/>
    </xf>
    <xf numFmtId="0" fontId="31" fillId="0" borderId="0" xfId="0" applyFont="1" applyAlignment="1">
      <alignment/>
    </xf>
  </cellXfs>
  <cellStyles count="88">
    <cellStyle name="Normal" xfId="0"/>
    <cellStyle name="&#13;&#10;JournalTemplate=C:\COMFO\CTALK\JOURSTD.TPL&#13;&#10;LbStateAddress=3 3 0 251 1 89 2 311&#13;&#10;LbStateJou" xfId="15"/>
    <cellStyle name="&#13;&#10;JournalTemplate=C:\COMFO\CTALK\JOURSTD.TPL&#13;&#10;LbStateAddress=3 3 0 251 1 89 2 311&#13;&#10;LbStateJou 2" xfId="16"/>
    <cellStyle name="&#13;&#10;JournalTemplate=C:\COMFO\CTALK\JOURSTD.TPL&#13;&#10;LbStateAddress=3 3 0 251 1 89 2 311&#13;&#10;LbStateJou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Bình thường 2" xfId="43"/>
    <cellStyle name="Bình thường 3" xfId="44"/>
    <cellStyle name="Calculation" xfId="45"/>
    <cellStyle name="Comma" xfId="46"/>
    <cellStyle name="Comma [0]" xfId="47"/>
    <cellStyle name="Comma 10" xfId="48"/>
    <cellStyle name="Comma 2" xfId="49"/>
    <cellStyle name="Comma 2 2" xfId="50"/>
    <cellStyle name="Comma 3" xfId="51"/>
    <cellStyle name="Comma 3 2" xfId="52"/>
    <cellStyle name="Comma 3 4" xfId="53"/>
    <cellStyle name="Comma 4" xfId="54"/>
    <cellStyle name="Comma 4 2" xfId="55"/>
    <cellStyle name="Comma 5" xfId="56"/>
    <cellStyle name="Comma 5 2" xfId="57"/>
    <cellStyle name="Comma 6 2_88345_93552" xfId="58"/>
    <cellStyle name="Comma 9" xfId="59"/>
    <cellStyle name="Comma_Bieu 1-Ctieu" xfId="60"/>
    <cellStyle name="Comma_Sheet1" xfId="61"/>
    <cellStyle name="Currency" xfId="62"/>
    <cellStyle name="Currency [0]" xfId="63"/>
    <cellStyle name="Check Cell" xfId="64"/>
    <cellStyle name="Dấu phẩy 2" xfId="65"/>
    <cellStyle name="Dấu_phảy 2" xfId="66"/>
    <cellStyle name="Dấu_phảy 3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10" xfId="79"/>
    <cellStyle name="Normal 11 3" xfId="80"/>
    <cellStyle name="Normal 2" xfId="81"/>
    <cellStyle name="Normal 34" xfId="82"/>
    <cellStyle name="Normal_BC va kehoach2010-2015 danso bancuoi" xfId="83"/>
    <cellStyle name="Normal_Bieu 1-Ctieu" xfId="84"/>
    <cellStyle name="Normal_Bieu So KH 11.11.2008" xfId="85"/>
    <cellStyle name="Normal_Bieu So KH 11.11.2008_Bieu so lieu KH 2010 ((1493))" xfId="86"/>
    <cellStyle name="Normal_Chi tieu nam 2009 moi" xfId="87"/>
    <cellStyle name="Normal_Chi tieu nam 2009 moi 3" xfId="88"/>
    <cellStyle name="Normal_Chi tieu PTSNYT và hoat dong tinh 2009" xfId="89"/>
    <cellStyle name="Normal_Chi tieu PTSNYT và hoat dong tinh 2009 H_Bieu so lieu KH 2010 ((1493))" xfId="90"/>
    <cellStyle name="Note" xfId="91"/>
    <cellStyle name="Output" xfId="92"/>
    <cellStyle name="Percent" xfId="93"/>
    <cellStyle name="Percent 2" xfId="94"/>
    <cellStyle name="Percent 3" xfId="95"/>
    <cellStyle name="Percent 3 2" xfId="96"/>
    <cellStyle name="Phần trăm 2" xfId="97"/>
    <cellStyle name="Style 1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9525</xdr:colOff>
      <xdr:row>6</xdr:row>
      <xdr:rowOff>0</xdr:rowOff>
    </xdr:from>
    <xdr:to>
      <xdr:col>34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2107525" y="1552575"/>
          <a:ext cx="6000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6</xdr:row>
      <xdr:rowOff>0</xdr:rowOff>
    </xdr:from>
    <xdr:to>
      <xdr:col>35</xdr:col>
      <xdr:colOff>0</xdr:colOff>
      <xdr:row>8</xdr:row>
      <xdr:rowOff>0</xdr:rowOff>
    </xdr:to>
    <xdr:sp>
      <xdr:nvSpPr>
        <xdr:cNvPr id="2" name="Line 31"/>
        <xdr:cNvSpPr>
          <a:spLocks/>
        </xdr:cNvSpPr>
      </xdr:nvSpPr>
      <xdr:spPr>
        <a:xfrm flipH="1">
          <a:off x="22717125" y="1552575"/>
          <a:ext cx="6000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6</xdr:row>
      <xdr:rowOff>0</xdr:rowOff>
    </xdr:from>
    <xdr:to>
      <xdr:col>34</xdr:col>
      <xdr:colOff>0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 flipH="1">
          <a:off x="22107525" y="1552575"/>
          <a:ext cx="6000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6</xdr:row>
      <xdr:rowOff>0</xdr:rowOff>
    </xdr:from>
    <xdr:to>
      <xdr:col>35</xdr:col>
      <xdr:colOff>0</xdr:colOff>
      <xdr:row>8</xdr:row>
      <xdr:rowOff>0</xdr:rowOff>
    </xdr:to>
    <xdr:sp>
      <xdr:nvSpPr>
        <xdr:cNvPr id="4" name="Line 31"/>
        <xdr:cNvSpPr>
          <a:spLocks/>
        </xdr:cNvSpPr>
      </xdr:nvSpPr>
      <xdr:spPr>
        <a:xfrm flipH="1">
          <a:off x="22717125" y="1552575"/>
          <a:ext cx="6000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12573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&#224;i%20li&#7879;u%20Ki&#234;n\T&#224;i%20li&#7879;u%20k&#7871;%20ho&#7841;ch\B&#225;o%20c&#225;o\N&#259;m%202021\B&#225;o%20c&#225;o%206%20th&#225;ng\Bi&#7875;u%20b&#225;o%20c&#225;ochu&#7849;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 1 nông nghiệp"/>
      <sheetName val="BIEU 2 CONG NGHIEP"/>
      <sheetName val=" Bieu 3 LDVT"/>
      <sheetName val="Biểu 4 Giáo dục và ĐT"/>
      <sheetName val="Giáo dục biểu 4"/>
      <sheetName val="Biểu 4 Giáo dục"/>
      <sheetName val=" Bieu 5 YTe"/>
      <sheetName val=" Bieu 6 VHTTDL"/>
      <sheetName val="bieu 7 PTTH"/>
      <sheetName val="Bieu 8 Kinh tế tập thể"/>
    </sheetNames>
    <sheetDataSet>
      <sheetData sheetId="2">
        <row r="21">
          <cell r="F21">
            <v>16641.193726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94"/>
  <sheetViews>
    <sheetView tabSelected="1" zoomScaleSheetLayoutView="85" zoomScalePageLayoutView="0" workbookViewId="0" topLeftCell="A1">
      <selection activeCell="D16" sqref="D16"/>
    </sheetView>
  </sheetViews>
  <sheetFormatPr defaultColWidth="9.140625" defaultRowHeight="12.75"/>
  <cols>
    <col min="1" max="1" width="3.57421875" style="36" customWidth="1"/>
    <col min="2" max="2" width="31.00390625" style="31" customWidth="1"/>
    <col min="3" max="3" width="9.57421875" style="36" customWidth="1"/>
    <col min="4" max="4" width="10.7109375" style="31" customWidth="1"/>
    <col min="5" max="7" width="9.57421875" style="31" customWidth="1"/>
    <col min="8" max="8" width="8.8515625" style="31" customWidth="1"/>
    <col min="9" max="9" width="7.57421875" style="31" customWidth="1"/>
    <col min="10" max="10" width="9.140625" style="31" customWidth="1"/>
    <col min="11" max="11" width="7.00390625" style="31" customWidth="1"/>
    <col min="12" max="12" width="8.28125" style="31" customWidth="1"/>
    <col min="13" max="13" width="7.7109375" style="31" customWidth="1"/>
    <col min="14" max="14" width="8.28125" style="31" customWidth="1"/>
    <col min="15" max="15" width="7.140625" style="31" customWidth="1"/>
    <col min="16" max="16" width="7.8515625" style="31" customWidth="1"/>
    <col min="17" max="18" width="7.140625" style="31" customWidth="1"/>
    <col min="19" max="19" width="7.7109375" style="31" customWidth="1"/>
    <col min="20" max="20" width="7.140625" style="31" customWidth="1"/>
    <col min="21" max="21" width="10.8515625" style="31" customWidth="1"/>
    <col min="22" max="22" width="11.28125" style="31" customWidth="1"/>
    <col min="23" max="23" width="4.00390625" style="784" customWidth="1"/>
    <col min="24" max="56" width="9.140625" style="784" customWidth="1"/>
    <col min="57" max="16384" width="9.140625" style="31" customWidth="1"/>
  </cols>
  <sheetData>
    <row r="1" spans="1:21" ht="18.75" customHeight="1">
      <c r="A1" s="717" t="s">
        <v>625</v>
      </c>
      <c r="B1" s="717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2" ht="18" customHeight="1">
      <c r="A2" s="722" t="s">
        <v>643</v>
      </c>
      <c r="B2" s="722"/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  <c r="T2" s="722"/>
      <c r="U2" s="722"/>
      <c r="V2" s="722"/>
    </row>
    <row r="3" spans="1:22" ht="18" customHeight="1">
      <c r="A3" s="721" t="s">
        <v>697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</row>
    <row r="4" spans="1:21" ht="11.25" customHeight="1">
      <c r="A4" s="287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288"/>
    </row>
    <row r="5" spans="1:56" s="33" customFormat="1" ht="24.75" customHeight="1">
      <c r="A5" s="712" t="s">
        <v>533</v>
      </c>
      <c r="B5" s="718" t="s">
        <v>48</v>
      </c>
      <c r="C5" s="718" t="s">
        <v>182</v>
      </c>
      <c r="D5" s="712" t="s">
        <v>638</v>
      </c>
      <c r="E5" s="724" t="s">
        <v>639</v>
      </c>
      <c r="F5" s="725"/>
      <c r="G5" s="726"/>
      <c r="H5" s="714" t="s">
        <v>640</v>
      </c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41" t="s">
        <v>272</v>
      </c>
      <c r="V5" s="741"/>
      <c r="W5" s="785"/>
      <c r="X5" s="785"/>
      <c r="Y5" s="785"/>
      <c r="Z5" s="785"/>
      <c r="AA5" s="785"/>
      <c r="AB5" s="785"/>
      <c r="AC5" s="785"/>
      <c r="AD5" s="785"/>
      <c r="AE5" s="785"/>
      <c r="AF5" s="785"/>
      <c r="AG5" s="785"/>
      <c r="AH5" s="785"/>
      <c r="AI5" s="785"/>
      <c r="AJ5" s="785"/>
      <c r="AK5" s="785"/>
      <c r="AL5" s="785"/>
      <c r="AM5" s="785"/>
      <c r="AN5" s="785"/>
      <c r="AO5" s="785"/>
      <c r="AP5" s="785"/>
      <c r="AQ5" s="785"/>
      <c r="AR5" s="785"/>
      <c r="AS5" s="785"/>
      <c r="AT5" s="785"/>
      <c r="AU5" s="785"/>
      <c r="AV5" s="785"/>
      <c r="AW5" s="785"/>
      <c r="AX5" s="785"/>
      <c r="AY5" s="785"/>
      <c r="AZ5" s="785"/>
      <c r="BA5" s="785"/>
      <c r="BB5" s="785"/>
      <c r="BC5" s="785"/>
      <c r="BD5" s="785"/>
    </row>
    <row r="6" spans="1:56" s="33" customFormat="1" ht="15.75" customHeight="1">
      <c r="A6" s="723"/>
      <c r="B6" s="719"/>
      <c r="C6" s="719"/>
      <c r="D6" s="723"/>
      <c r="E6" s="727"/>
      <c r="F6" s="728"/>
      <c r="G6" s="729"/>
      <c r="H6" s="714" t="s">
        <v>291</v>
      </c>
      <c r="I6" s="716"/>
      <c r="J6" s="716"/>
      <c r="K6" s="716"/>
      <c r="L6" s="716"/>
      <c r="M6" s="716"/>
      <c r="N6" s="716"/>
      <c r="O6" s="716"/>
      <c r="P6" s="716"/>
      <c r="Q6" s="716"/>
      <c r="R6" s="716"/>
      <c r="S6" s="716"/>
      <c r="T6" s="715"/>
      <c r="U6" s="741" t="s">
        <v>641</v>
      </c>
      <c r="V6" s="741" t="s">
        <v>642</v>
      </c>
      <c r="W6" s="785"/>
      <c r="X6" s="785"/>
      <c r="Y6" s="785"/>
      <c r="Z6" s="785"/>
      <c r="AA6" s="785"/>
      <c r="AB6" s="785"/>
      <c r="AC6" s="785"/>
      <c r="AD6" s="785"/>
      <c r="AE6" s="785"/>
      <c r="AF6" s="785"/>
      <c r="AG6" s="785"/>
      <c r="AH6" s="785"/>
      <c r="AI6" s="785"/>
      <c r="AJ6" s="785"/>
      <c r="AK6" s="785"/>
      <c r="AL6" s="785"/>
      <c r="AM6" s="785"/>
      <c r="AN6" s="785"/>
      <c r="AO6" s="785"/>
      <c r="AP6" s="785"/>
      <c r="AQ6" s="785"/>
      <c r="AR6" s="785"/>
      <c r="AS6" s="785"/>
      <c r="AT6" s="785"/>
      <c r="AU6" s="785"/>
      <c r="AV6" s="785"/>
      <c r="AW6" s="785"/>
      <c r="AX6" s="785"/>
      <c r="AY6" s="785"/>
      <c r="AZ6" s="785"/>
      <c r="BA6" s="785"/>
      <c r="BB6" s="785"/>
      <c r="BC6" s="785"/>
      <c r="BD6" s="785"/>
    </row>
    <row r="7" spans="1:56" s="289" customFormat="1" ht="68.25" customHeight="1">
      <c r="A7" s="713"/>
      <c r="B7" s="720"/>
      <c r="C7" s="720"/>
      <c r="D7" s="713"/>
      <c r="E7" s="275" t="s">
        <v>531</v>
      </c>
      <c r="F7" s="275" t="s">
        <v>634</v>
      </c>
      <c r="G7" s="275" t="s">
        <v>353</v>
      </c>
      <c r="H7" s="275" t="s">
        <v>3</v>
      </c>
      <c r="I7" s="275" t="s">
        <v>505</v>
      </c>
      <c r="J7" s="275" t="s">
        <v>325</v>
      </c>
      <c r="K7" s="275" t="s">
        <v>507</v>
      </c>
      <c r="L7" s="275" t="s">
        <v>480</v>
      </c>
      <c r="M7" s="275" t="s">
        <v>327</v>
      </c>
      <c r="N7" s="275" t="s">
        <v>326</v>
      </c>
      <c r="O7" s="275" t="s">
        <v>328</v>
      </c>
      <c r="P7" s="275" t="s">
        <v>329</v>
      </c>
      <c r="Q7" s="275" t="s">
        <v>330</v>
      </c>
      <c r="R7" s="275" t="s">
        <v>331</v>
      </c>
      <c r="S7" s="275" t="s">
        <v>503</v>
      </c>
      <c r="T7" s="275" t="s">
        <v>534</v>
      </c>
      <c r="U7" s="741"/>
      <c r="V7" s="741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786"/>
      <c r="AJ7" s="786"/>
      <c r="AK7" s="786"/>
      <c r="AL7" s="786"/>
      <c r="AM7" s="786"/>
      <c r="AN7" s="786"/>
      <c r="AO7" s="786"/>
      <c r="AP7" s="786"/>
      <c r="AQ7" s="786"/>
      <c r="AR7" s="786"/>
      <c r="AS7" s="786"/>
      <c r="AT7" s="786"/>
      <c r="AU7" s="786"/>
      <c r="AV7" s="786"/>
      <c r="AW7" s="786"/>
      <c r="AX7" s="786"/>
      <c r="AY7" s="786"/>
      <c r="AZ7" s="786"/>
      <c r="BA7" s="786"/>
      <c r="BB7" s="786"/>
      <c r="BC7" s="786"/>
      <c r="BD7" s="786"/>
    </row>
    <row r="8" spans="1:56" s="33" customFormat="1" ht="18.75" customHeight="1">
      <c r="A8" s="282" t="s">
        <v>178</v>
      </c>
      <c r="B8" s="126" t="s">
        <v>278</v>
      </c>
      <c r="C8" s="282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7"/>
      <c r="W8" s="785"/>
      <c r="X8" s="785"/>
      <c r="Y8" s="785"/>
      <c r="Z8" s="785"/>
      <c r="AA8" s="785"/>
      <c r="AB8" s="785"/>
      <c r="AC8" s="785"/>
      <c r="AD8" s="785"/>
      <c r="AE8" s="785"/>
      <c r="AF8" s="785"/>
      <c r="AG8" s="785"/>
      <c r="AH8" s="785"/>
      <c r="AI8" s="785"/>
      <c r="AJ8" s="785"/>
      <c r="AK8" s="785"/>
      <c r="AL8" s="785"/>
      <c r="AM8" s="785"/>
      <c r="AN8" s="785"/>
      <c r="AO8" s="785"/>
      <c r="AP8" s="785"/>
      <c r="AQ8" s="785"/>
      <c r="AR8" s="785"/>
      <c r="AS8" s="785"/>
      <c r="AT8" s="785"/>
      <c r="AU8" s="785"/>
      <c r="AV8" s="785"/>
      <c r="AW8" s="785"/>
      <c r="AX8" s="785"/>
      <c r="AY8" s="785"/>
      <c r="AZ8" s="785"/>
      <c r="BA8" s="785"/>
      <c r="BB8" s="785"/>
      <c r="BC8" s="785"/>
      <c r="BD8" s="785"/>
    </row>
    <row r="9" spans="1:56" s="33" customFormat="1" ht="18.75" customHeight="1">
      <c r="A9" s="282" t="s">
        <v>167</v>
      </c>
      <c r="B9" s="126" t="s">
        <v>279</v>
      </c>
      <c r="C9" s="282"/>
      <c r="D9" s="126"/>
      <c r="E9" s="577"/>
      <c r="F9" s="577"/>
      <c r="G9" s="578"/>
      <c r="H9" s="578"/>
      <c r="I9" s="577"/>
      <c r="J9" s="577"/>
      <c r="K9" s="577"/>
      <c r="L9" s="577"/>
      <c r="M9" s="577"/>
      <c r="N9" s="577"/>
      <c r="O9" s="577"/>
      <c r="P9" s="577"/>
      <c r="Q9" s="577"/>
      <c r="R9" s="577"/>
      <c r="S9" s="577"/>
      <c r="T9" s="577"/>
      <c r="U9" s="126"/>
      <c r="V9" s="127"/>
      <c r="W9" s="785"/>
      <c r="X9" s="785"/>
      <c r="Y9" s="785"/>
      <c r="Z9" s="785"/>
      <c r="AA9" s="785"/>
      <c r="AB9" s="785"/>
      <c r="AC9" s="785"/>
      <c r="AD9" s="785"/>
      <c r="AE9" s="785"/>
      <c r="AF9" s="785"/>
      <c r="AG9" s="785"/>
      <c r="AH9" s="785"/>
      <c r="AI9" s="785"/>
      <c r="AJ9" s="785"/>
      <c r="AK9" s="785"/>
      <c r="AL9" s="785"/>
      <c r="AM9" s="785"/>
      <c r="AN9" s="785"/>
      <c r="AO9" s="785"/>
      <c r="AP9" s="785"/>
      <c r="AQ9" s="785"/>
      <c r="AR9" s="785"/>
      <c r="AS9" s="785"/>
      <c r="AT9" s="785"/>
      <c r="AU9" s="785"/>
      <c r="AV9" s="785"/>
      <c r="AW9" s="785"/>
      <c r="AX9" s="785"/>
      <c r="AY9" s="785"/>
      <c r="AZ9" s="785"/>
      <c r="BA9" s="785"/>
      <c r="BB9" s="785"/>
      <c r="BC9" s="785"/>
      <c r="BD9" s="785"/>
    </row>
    <row r="10" spans="1:56" s="33" customFormat="1" ht="18.75" customHeight="1">
      <c r="A10" s="282" t="s">
        <v>175</v>
      </c>
      <c r="B10" s="126" t="s">
        <v>343</v>
      </c>
      <c r="C10" s="282" t="s">
        <v>186</v>
      </c>
      <c r="D10" s="579">
        <f>D16+D32</f>
        <v>9386</v>
      </c>
      <c r="E10" s="579">
        <f aca="true" t="shared" si="0" ref="E10:T10">E16+E32</f>
        <v>9193</v>
      </c>
      <c r="F10" s="579">
        <f t="shared" si="0"/>
        <v>8258</v>
      </c>
      <c r="G10" s="579">
        <f>G16+G32</f>
        <v>9135</v>
      </c>
      <c r="H10" s="580">
        <f>H16+H32</f>
        <v>9055</v>
      </c>
      <c r="I10" s="580">
        <f t="shared" si="0"/>
        <v>445</v>
      </c>
      <c r="J10" s="580">
        <f t="shared" si="0"/>
        <v>1133</v>
      </c>
      <c r="K10" s="580">
        <f t="shared" si="0"/>
        <v>1083</v>
      </c>
      <c r="L10" s="580">
        <f t="shared" si="0"/>
        <v>515</v>
      </c>
      <c r="M10" s="580">
        <f t="shared" si="0"/>
        <v>745</v>
      </c>
      <c r="N10" s="580">
        <f t="shared" si="0"/>
        <v>1214</v>
      </c>
      <c r="O10" s="580">
        <f t="shared" si="0"/>
        <v>654</v>
      </c>
      <c r="P10" s="580">
        <f t="shared" si="0"/>
        <v>720</v>
      </c>
      <c r="Q10" s="580">
        <f t="shared" si="0"/>
        <v>585</v>
      </c>
      <c r="R10" s="580">
        <f t="shared" si="0"/>
        <v>694</v>
      </c>
      <c r="S10" s="580">
        <f t="shared" si="0"/>
        <v>891</v>
      </c>
      <c r="T10" s="580">
        <f t="shared" si="0"/>
        <v>376</v>
      </c>
      <c r="U10" s="128">
        <f>G10/D10%</f>
        <v>97.3258043895163</v>
      </c>
      <c r="V10" s="128">
        <f>H10/G10%</f>
        <v>99.12424740010948</v>
      </c>
      <c r="W10" s="785"/>
      <c r="X10" s="785"/>
      <c r="Y10" s="785"/>
      <c r="Z10" s="785"/>
      <c r="AA10" s="785"/>
      <c r="AB10" s="785"/>
      <c r="AC10" s="785"/>
      <c r="AD10" s="785"/>
      <c r="AE10" s="785"/>
      <c r="AF10" s="785"/>
      <c r="AG10" s="785"/>
      <c r="AH10" s="785"/>
      <c r="AI10" s="785"/>
      <c r="AJ10" s="785"/>
      <c r="AK10" s="785"/>
      <c r="AL10" s="785"/>
      <c r="AM10" s="785"/>
      <c r="AN10" s="785"/>
      <c r="AO10" s="785"/>
      <c r="AP10" s="785"/>
      <c r="AQ10" s="785"/>
      <c r="AR10" s="785"/>
      <c r="AS10" s="785"/>
      <c r="AT10" s="785"/>
      <c r="AU10" s="785"/>
      <c r="AV10" s="785"/>
      <c r="AW10" s="785"/>
      <c r="AX10" s="785"/>
      <c r="AY10" s="785"/>
      <c r="AZ10" s="785"/>
      <c r="BA10" s="785"/>
      <c r="BB10" s="785"/>
      <c r="BC10" s="785"/>
      <c r="BD10" s="785"/>
    </row>
    <row r="11" spans="1:56" s="33" customFormat="1" ht="18.75" customHeight="1">
      <c r="A11" s="282" t="s">
        <v>175</v>
      </c>
      <c r="B11" s="581" t="s">
        <v>344</v>
      </c>
      <c r="C11" s="282" t="s">
        <v>185</v>
      </c>
      <c r="D11" s="582">
        <f>D18+D34</f>
        <v>28799.646940000002</v>
      </c>
      <c r="E11" s="582">
        <f>E18+E34</f>
        <v>28869.298201999998</v>
      </c>
      <c r="F11" s="582">
        <f>F18+F34</f>
        <v>3883.38</v>
      </c>
      <c r="G11" s="582">
        <f>G18+G34</f>
        <v>28737.771120000005</v>
      </c>
      <c r="H11" s="583">
        <f>H18+H34</f>
        <v>28970.852000000003</v>
      </c>
      <c r="I11" s="584">
        <f aca="true" t="shared" si="1" ref="I11:T11">I18+I34</f>
        <v>2330.94</v>
      </c>
      <c r="J11" s="584">
        <f t="shared" si="1"/>
        <v>3817.99</v>
      </c>
      <c r="K11" s="584">
        <f t="shared" si="1"/>
        <v>3446.395</v>
      </c>
      <c r="L11" s="584">
        <f t="shared" si="1"/>
        <v>2167</v>
      </c>
      <c r="M11" s="584">
        <f t="shared" si="1"/>
        <v>2606.8999999999996</v>
      </c>
      <c r="N11" s="584">
        <f t="shared" si="1"/>
        <v>3271.58</v>
      </c>
      <c r="O11" s="584">
        <f t="shared" si="1"/>
        <v>1927.467</v>
      </c>
      <c r="P11" s="584">
        <f t="shared" si="1"/>
        <v>2287.16</v>
      </c>
      <c r="Q11" s="584">
        <f t="shared" si="1"/>
        <v>1610.1</v>
      </c>
      <c r="R11" s="584">
        <f t="shared" si="1"/>
        <v>2059.63</v>
      </c>
      <c r="S11" s="584">
        <f t="shared" si="1"/>
        <v>2461.31</v>
      </c>
      <c r="T11" s="584">
        <f t="shared" si="1"/>
        <v>984.3800000000001</v>
      </c>
      <c r="U11" s="283">
        <f>G11/D11%</f>
        <v>99.7851507689351</v>
      </c>
      <c r="V11" s="283">
        <f>H11/G11%</f>
        <v>100.81106109108715</v>
      </c>
      <c r="W11" s="785"/>
      <c r="X11" s="785"/>
      <c r="Y11" s="785"/>
      <c r="Z11" s="785"/>
      <c r="AA11" s="785"/>
      <c r="AB11" s="785"/>
      <c r="AC11" s="785"/>
      <c r="AD11" s="785"/>
      <c r="AE11" s="785"/>
      <c r="AF11" s="785"/>
      <c r="AG11" s="785"/>
      <c r="AH11" s="785"/>
      <c r="AI11" s="785"/>
      <c r="AJ11" s="785"/>
      <c r="AK11" s="785"/>
      <c r="AL11" s="785"/>
      <c r="AM11" s="785"/>
      <c r="AN11" s="785"/>
      <c r="AO11" s="785"/>
      <c r="AP11" s="785"/>
      <c r="AQ11" s="785"/>
      <c r="AR11" s="785"/>
      <c r="AS11" s="785"/>
      <c r="AT11" s="785"/>
      <c r="AU11" s="785"/>
      <c r="AV11" s="785"/>
      <c r="AW11" s="785"/>
      <c r="AX11" s="785"/>
      <c r="AY11" s="785"/>
      <c r="AZ11" s="785"/>
      <c r="BA11" s="785"/>
      <c r="BB11" s="785"/>
      <c r="BC11" s="785"/>
      <c r="BD11" s="785"/>
    </row>
    <row r="12" spans="1:22" ht="18.75" customHeight="1">
      <c r="A12" s="129"/>
      <c r="B12" s="235" t="s">
        <v>340</v>
      </c>
      <c r="C12" s="129" t="s">
        <v>185</v>
      </c>
      <c r="D12" s="130">
        <f>D18</f>
        <v>15375.2347</v>
      </c>
      <c r="E12" s="183">
        <f>E18</f>
        <v>15197.084802</v>
      </c>
      <c r="F12" s="183">
        <f>F18</f>
        <v>3620.04</v>
      </c>
      <c r="G12" s="183">
        <f>G18</f>
        <v>15044.331120000003</v>
      </c>
      <c r="H12" s="585">
        <f>SUM(I12:T12)</f>
        <v>15119.712000000001</v>
      </c>
      <c r="I12" s="310">
        <f aca="true" t="shared" si="2" ref="I12:T12">I18</f>
        <v>2141.94</v>
      </c>
      <c r="J12" s="310">
        <f t="shared" si="2"/>
        <v>2238.49</v>
      </c>
      <c r="K12" s="310">
        <f t="shared" si="2"/>
        <v>2231.395</v>
      </c>
      <c r="L12" s="310">
        <f t="shared" si="2"/>
        <v>1694.5</v>
      </c>
      <c r="M12" s="310">
        <f t="shared" si="2"/>
        <v>1682.1</v>
      </c>
      <c r="N12" s="310">
        <f t="shared" si="2"/>
        <v>1556.1799999999998</v>
      </c>
      <c r="O12" s="310">
        <f t="shared" si="2"/>
        <v>631.467</v>
      </c>
      <c r="P12" s="310">
        <f t="shared" si="2"/>
        <v>1018.1599999999999</v>
      </c>
      <c r="Q12" s="310">
        <f t="shared" si="2"/>
        <v>327.6</v>
      </c>
      <c r="R12" s="310">
        <f t="shared" si="2"/>
        <v>642.13</v>
      </c>
      <c r="S12" s="310">
        <f t="shared" si="2"/>
        <v>652.3100000000001</v>
      </c>
      <c r="T12" s="310">
        <f t="shared" si="2"/>
        <v>303.44</v>
      </c>
      <c r="U12" s="238">
        <f>G12/D12%</f>
        <v>97.8478144466959</v>
      </c>
      <c r="V12" s="236">
        <f>H12/G12%</f>
        <v>100.50105836809045</v>
      </c>
    </row>
    <row r="13" spans="1:22" ht="18.75" customHeight="1">
      <c r="A13" s="586" t="s">
        <v>337</v>
      </c>
      <c r="B13" s="235" t="s">
        <v>341</v>
      </c>
      <c r="C13" s="129" t="s">
        <v>185</v>
      </c>
      <c r="D13" s="79">
        <f>D22+D26</f>
        <v>12897.7747</v>
      </c>
      <c r="E13" s="79">
        <f>E22+E26</f>
        <v>12991.35312</v>
      </c>
      <c r="F13" s="183">
        <f>F22+F26</f>
        <v>3620.04</v>
      </c>
      <c r="G13" s="183">
        <f>G22+G26</f>
        <v>12933.451120000002</v>
      </c>
      <c r="H13" s="585">
        <f>SUM(I13:T13)</f>
        <v>13131.73</v>
      </c>
      <c r="I13" s="310">
        <f aca="true" t="shared" si="3" ref="I13:T13">I22+I26</f>
        <v>2114.4</v>
      </c>
      <c r="J13" s="310">
        <f t="shared" si="3"/>
        <v>1898.49</v>
      </c>
      <c r="K13" s="310">
        <f t="shared" si="3"/>
        <v>1814.02</v>
      </c>
      <c r="L13" s="310">
        <f t="shared" si="3"/>
        <v>1639.9</v>
      </c>
      <c r="M13" s="310">
        <f t="shared" si="3"/>
        <v>1527.1</v>
      </c>
      <c r="N13" s="310">
        <f t="shared" si="3"/>
        <v>1103.58</v>
      </c>
      <c r="O13" s="310">
        <f t="shared" si="3"/>
        <v>553.4</v>
      </c>
      <c r="P13" s="310">
        <f t="shared" si="3"/>
        <v>962.8599999999999</v>
      </c>
      <c r="Q13" s="310">
        <f t="shared" si="3"/>
        <v>249.6</v>
      </c>
      <c r="R13" s="310">
        <f t="shared" si="3"/>
        <v>595.63</v>
      </c>
      <c r="S13" s="310">
        <f t="shared" si="3"/>
        <v>497.31000000000006</v>
      </c>
      <c r="T13" s="310">
        <f t="shared" si="3"/>
        <v>175.44</v>
      </c>
      <c r="U13" s="236">
        <f>G13/D13%</f>
        <v>100.27660911149272</v>
      </c>
      <c r="V13" s="237">
        <f>H13/G13%</f>
        <v>101.53307016170946</v>
      </c>
    </row>
    <row r="14" spans="1:22" ht="17.25" customHeight="1">
      <c r="A14" s="586" t="s">
        <v>337</v>
      </c>
      <c r="B14" s="587" t="s">
        <v>342</v>
      </c>
      <c r="C14" s="129" t="s">
        <v>13</v>
      </c>
      <c r="D14" s="79">
        <f>D13/D11%</f>
        <v>44.78448894484954</v>
      </c>
      <c r="E14" s="130">
        <f>E13/E11%</f>
        <v>45.000585151391</v>
      </c>
      <c r="F14" s="79">
        <f>F13/F11%</f>
        <v>93.21879393724024</v>
      </c>
      <c r="G14" s="183">
        <f>G13/G11%</f>
        <v>45.005059947042966</v>
      </c>
      <c r="H14" s="585">
        <f aca="true" t="shared" si="4" ref="H14:T14">H13/H11%</f>
        <v>45.327386298476824</v>
      </c>
      <c r="I14" s="309">
        <f t="shared" si="4"/>
        <v>90.71018559036268</v>
      </c>
      <c r="J14" s="309">
        <f t="shared" si="4"/>
        <v>49.724855224869636</v>
      </c>
      <c r="K14" s="309">
        <f t="shared" si="4"/>
        <v>52.63528991888626</v>
      </c>
      <c r="L14" s="309">
        <f t="shared" si="4"/>
        <v>75.67604983848638</v>
      </c>
      <c r="M14" s="309">
        <f t="shared" si="4"/>
        <v>58.57915531857763</v>
      </c>
      <c r="N14" s="309">
        <f t="shared" si="4"/>
        <v>33.73232505394947</v>
      </c>
      <c r="O14" s="309">
        <f t="shared" si="4"/>
        <v>28.711256794539153</v>
      </c>
      <c r="P14" s="309">
        <f t="shared" si="4"/>
        <v>42.09849770020462</v>
      </c>
      <c r="Q14" s="310">
        <f t="shared" si="4"/>
        <v>15.502142724054407</v>
      </c>
      <c r="R14" s="309">
        <f t="shared" si="4"/>
        <v>28.91927190806116</v>
      </c>
      <c r="S14" s="309">
        <f t="shared" si="4"/>
        <v>20.205094035290152</v>
      </c>
      <c r="T14" s="309">
        <f t="shared" si="4"/>
        <v>17.822385664072815</v>
      </c>
      <c r="U14" s="588">
        <f>G14-D14</f>
        <v>0.22057100219342374</v>
      </c>
      <c r="V14" s="236">
        <f>H14-G14</f>
        <v>0.32232635143385835</v>
      </c>
    </row>
    <row r="15" spans="1:56" s="33" customFormat="1" ht="18.75" customHeight="1">
      <c r="A15" s="282">
        <v>1</v>
      </c>
      <c r="B15" s="581" t="s">
        <v>281</v>
      </c>
      <c r="C15" s="282"/>
      <c r="D15" s="181"/>
      <c r="E15" s="181"/>
      <c r="F15" s="181"/>
      <c r="G15" s="582"/>
      <c r="H15" s="30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9"/>
      <c r="T15" s="589"/>
      <c r="U15" s="128"/>
      <c r="V15" s="128"/>
      <c r="W15" s="785"/>
      <c r="X15" s="785"/>
      <c r="Y15" s="785"/>
      <c r="Z15" s="785"/>
      <c r="AA15" s="785"/>
      <c r="AB15" s="785"/>
      <c r="AC15" s="785"/>
      <c r="AD15" s="785"/>
      <c r="AE15" s="785"/>
      <c r="AF15" s="785"/>
      <c r="AG15" s="785"/>
      <c r="AH15" s="785"/>
      <c r="AI15" s="785"/>
      <c r="AJ15" s="785"/>
      <c r="AK15" s="785"/>
      <c r="AL15" s="785"/>
      <c r="AM15" s="785"/>
      <c r="AN15" s="785"/>
      <c r="AO15" s="785"/>
      <c r="AP15" s="785"/>
      <c r="AQ15" s="785"/>
      <c r="AR15" s="785"/>
      <c r="AS15" s="785"/>
      <c r="AT15" s="785"/>
      <c r="AU15" s="785"/>
      <c r="AV15" s="785"/>
      <c r="AW15" s="785"/>
      <c r="AX15" s="785"/>
      <c r="AY15" s="785"/>
      <c r="AZ15" s="785"/>
      <c r="BA15" s="785"/>
      <c r="BB15" s="785"/>
      <c r="BC15" s="785"/>
      <c r="BD15" s="785"/>
    </row>
    <row r="16" spans="1:56" s="33" customFormat="1" ht="18.75" customHeight="1">
      <c r="A16" s="282" t="s">
        <v>175</v>
      </c>
      <c r="B16" s="126" t="s">
        <v>188</v>
      </c>
      <c r="C16" s="282" t="s">
        <v>186</v>
      </c>
      <c r="D16" s="163">
        <f>D20+D24+D28</f>
        <v>4223</v>
      </c>
      <c r="E16" s="163">
        <f>E20+E24+E28</f>
        <v>4030</v>
      </c>
      <c r="F16" s="163">
        <f>F20+F24+F28</f>
        <v>3095</v>
      </c>
      <c r="G16" s="163">
        <f>G20+G24+G28</f>
        <v>3972</v>
      </c>
      <c r="H16" s="584">
        <f>SUM(I16:T16)</f>
        <v>3892</v>
      </c>
      <c r="I16" s="584">
        <f>I20+I24+I28</f>
        <v>375</v>
      </c>
      <c r="J16" s="584">
        <f aca="true" t="shared" si="5" ref="J16:T17">J20+J24+J28</f>
        <v>548</v>
      </c>
      <c r="K16" s="584">
        <f t="shared" si="5"/>
        <v>633</v>
      </c>
      <c r="L16" s="584">
        <f t="shared" si="5"/>
        <v>340</v>
      </c>
      <c r="M16" s="584">
        <f t="shared" si="5"/>
        <v>405</v>
      </c>
      <c r="N16" s="584">
        <f t="shared" si="5"/>
        <v>544</v>
      </c>
      <c r="O16" s="584">
        <f t="shared" si="5"/>
        <v>174</v>
      </c>
      <c r="P16" s="584">
        <f t="shared" si="5"/>
        <v>250</v>
      </c>
      <c r="Q16" s="584">
        <f t="shared" si="5"/>
        <v>110</v>
      </c>
      <c r="R16" s="584">
        <f t="shared" si="5"/>
        <v>169</v>
      </c>
      <c r="S16" s="584">
        <f t="shared" si="5"/>
        <v>221</v>
      </c>
      <c r="T16" s="584">
        <f t="shared" si="5"/>
        <v>123</v>
      </c>
      <c r="U16" s="283">
        <f>G16/D16%</f>
        <v>94.05635803930855</v>
      </c>
      <c r="V16" s="283">
        <f>H16/G16%</f>
        <v>97.98590130916415</v>
      </c>
      <c r="W16" s="785"/>
      <c r="X16" s="785"/>
      <c r="Y16" s="785"/>
      <c r="Z16" s="785"/>
      <c r="AA16" s="785"/>
      <c r="AB16" s="785"/>
      <c r="AC16" s="785"/>
      <c r="AD16" s="785"/>
      <c r="AE16" s="785"/>
      <c r="AF16" s="785"/>
      <c r="AG16" s="785"/>
      <c r="AH16" s="785"/>
      <c r="AI16" s="785"/>
      <c r="AJ16" s="785"/>
      <c r="AK16" s="785"/>
      <c r="AL16" s="785"/>
      <c r="AM16" s="785"/>
      <c r="AN16" s="785"/>
      <c r="AO16" s="785"/>
      <c r="AP16" s="785"/>
      <c r="AQ16" s="785"/>
      <c r="AR16" s="785"/>
      <c r="AS16" s="785"/>
      <c r="AT16" s="785"/>
      <c r="AU16" s="785"/>
      <c r="AV16" s="785"/>
      <c r="AW16" s="785"/>
      <c r="AX16" s="785"/>
      <c r="AY16" s="785"/>
      <c r="AZ16" s="785"/>
      <c r="BA16" s="785"/>
      <c r="BB16" s="785"/>
      <c r="BC16" s="785"/>
      <c r="BD16" s="785"/>
    </row>
    <row r="17" spans="1:56" s="33" customFormat="1" ht="18.75" customHeight="1">
      <c r="A17" s="282" t="s">
        <v>175</v>
      </c>
      <c r="B17" s="126" t="s">
        <v>346</v>
      </c>
      <c r="C17" s="282" t="s">
        <v>486</v>
      </c>
      <c r="D17" s="582">
        <f>D18/D16*10</f>
        <v>36.408322756334364</v>
      </c>
      <c r="E17" s="582">
        <f>E18/E16*10</f>
        <v>37.70988784615385</v>
      </c>
      <c r="F17" s="582">
        <f>F18/F16*10</f>
        <v>11.696413570274638</v>
      </c>
      <c r="G17" s="582">
        <f>G18/G16*10</f>
        <v>37.87595951661632</v>
      </c>
      <c r="H17" s="584">
        <f>SUM(I17:T17)</f>
        <v>1271.0924999999997</v>
      </c>
      <c r="I17" s="584">
        <f>I21+I25+I29</f>
        <v>135.7</v>
      </c>
      <c r="J17" s="584">
        <f t="shared" si="5"/>
        <v>132.9</v>
      </c>
      <c r="K17" s="584">
        <f t="shared" si="5"/>
        <v>120.25</v>
      </c>
      <c r="L17" s="584">
        <f t="shared" si="5"/>
        <v>126.19999999999999</v>
      </c>
      <c r="M17" s="584">
        <f t="shared" si="5"/>
        <v>124.3</v>
      </c>
      <c r="N17" s="584">
        <f t="shared" si="5"/>
        <v>115</v>
      </c>
      <c r="O17" s="584">
        <f t="shared" si="5"/>
        <v>117.9425</v>
      </c>
      <c r="P17" s="584">
        <f t="shared" si="5"/>
        <v>115.49999999999999</v>
      </c>
      <c r="Q17" s="584">
        <f t="shared" si="5"/>
        <v>57.2</v>
      </c>
      <c r="R17" s="584">
        <f t="shared" si="5"/>
        <v>112.7</v>
      </c>
      <c r="S17" s="584">
        <f t="shared" si="5"/>
        <v>56.6</v>
      </c>
      <c r="T17" s="584">
        <f t="shared" si="5"/>
        <v>56.8</v>
      </c>
      <c r="U17" s="283">
        <f>G17/D17%</f>
        <v>104.03104743413816</v>
      </c>
      <c r="V17" s="128">
        <f>H17/G17%</f>
        <v>3355.934783493384</v>
      </c>
      <c r="W17" s="785"/>
      <c r="X17" s="785"/>
      <c r="Y17" s="785"/>
      <c r="Z17" s="785"/>
      <c r="AA17" s="785"/>
      <c r="AB17" s="785"/>
      <c r="AC17" s="785"/>
      <c r="AD17" s="785"/>
      <c r="AE17" s="785"/>
      <c r="AF17" s="785"/>
      <c r="AG17" s="785"/>
      <c r="AH17" s="785"/>
      <c r="AI17" s="785"/>
      <c r="AJ17" s="785"/>
      <c r="AK17" s="785"/>
      <c r="AL17" s="785"/>
      <c r="AM17" s="785"/>
      <c r="AN17" s="785"/>
      <c r="AO17" s="785"/>
      <c r="AP17" s="785"/>
      <c r="AQ17" s="785"/>
      <c r="AR17" s="785"/>
      <c r="AS17" s="785"/>
      <c r="AT17" s="785"/>
      <c r="AU17" s="785"/>
      <c r="AV17" s="785"/>
      <c r="AW17" s="785"/>
      <c r="AX17" s="785"/>
      <c r="AY17" s="785"/>
      <c r="AZ17" s="785"/>
      <c r="BA17" s="785"/>
      <c r="BB17" s="785"/>
      <c r="BC17" s="785"/>
      <c r="BD17" s="785"/>
    </row>
    <row r="18" spans="1:56" s="33" customFormat="1" ht="18.75" customHeight="1">
      <c r="A18" s="282" t="s">
        <v>175</v>
      </c>
      <c r="B18" s="126" t="s">
        <v>345</v>
      </c>
      <c r="C18" s="282" t="s">
        <v>185</v>
      </c>
      <c r="D18" s="582">
        <f>D22+D26+D30</f>
        <v>15375.2347</v>
      </c>
      <c r="E18" s="582">
        <f>E22+E26+E30</f>
        <v>15197.084802</v>
      </c>
      <c r="F18" s="582">
        <f>F22+F26+F30</f>
        <v>3620.04</v>
      </c>
      <c r="G18" s="582">
        <f>G22+G26+G30</f>
        <v>15044.331120000003</v>
      </c>
      <c r="H18" s="583">
        <f>SUM(I18:T18)</f>
        <v>15119.712000000001</v>
      </c>
      <c r="I18" s="584">
        <f>I22+I26+I30</f>
        <v>2141.94</v>
      </c>
      <c r="J18" s="589">
        <f aca="true" t="shared" si="6" ref="J18:T18">J22+J26+J30</f>
        <v>2238.49</v>
      </c>
      <c r="K18" s="584">
        <f t="shared" si="6"/>
        <v>2231.395</v>
      </c>
      <c r="L18" s="589">
        <f t="shared" si="6"/>
        <v>1694.5</v>
      </c>
      <c r="M18" s="589">
        <f t="shared" si="6"/>
        <v>1682.1</v>
      </c>
      <c r="N18" s="589">
        <f t="shared" si="6"/>
        <v>1556.1799999999998</v>
      </c>
      <c r="O18" s="584">
        <f t="shared" si="6"/>
        <v>631.467</v>
      </c>
      <c r="P18" s="589">
        <f t="shared" si="6"/>
        <v>1018.1599999999999</v>
      </c>
      <c r="Q18" s="584">
        <f t="shared" si="6"/>
        <v>327.6</v>
      </c>
      <c r="R18" s="584">
        <f t="shared" si="6"/>
        <v>642.13</v>
      </c>
      <c r="S18" s="589">
        <f t="shared" si="6"/>
        <v>652.3100000000001</v>
      </c>
      <c r="T18" s="589">
        <f t="shared" si="6"/>
        <v>303.44</v>
      </c>
      <c r="U18" s="283">
        <f>G18/D18%</f>
        <v>97.8478144466959</v>
      </c>
      <c r="V18" s="283">
        <f>H18/G18%</f>
        <v>100.50105836809045</v>
      </c>
      <c r="W18" s="785"/>
      <c r="X18" s="785"/>
      <c r="Y18" s="785"/>
      <c r="Z18" s="785"/>
      <c r="AA18" s="785"/>
      <c r="AB18" s="785"/>
      <c r="AC18" s="785"/>
      <c r="AD18" s="785"/>
      <c r="AE18" s="785"/>
      <c r="AF18" s="785"/>
      <c r="AG18" s="785"/>
      <c r="AH18" s="785"/>
      <c r="AI18" s="785"/>
      <c r="AJ18" s="785"/>
      <c r="AK18" s="785"/>
      <c r="AL18" s="785"/>
      <c r="AM18" s="785"/>
      <c r="AN18" s="785"/>
      <c r="AO18" s="785"/>
      <c r="AP18" s="785"/>
      <c r="AQ18" s="785"/>
      <c r="AR18" s="785"/>
      <c r="AS18" s="785"/>
      <c r="AT18" s="785"/>
      <c r="AU18" s="785"/>
      <c r="AV18" s="785"/>
      <c r="AW18" s="785"/>
      <c r="AX18" s="785"/>
      <c r="AY18" s="785"/>
      <c r="AZ18" s="785"/>
      <c r="BA18" s="785"/>
      <c r="BB18" s="785"/>
      <c r="BC18" s="785"/>
      <c r="BD18" s="785"/>
    </row>
    <row r="19" spans="1:56" s="33" customFormat="1" ht="18.75" customHeight="1">
      <c r="A19" s="282" t="s">
        <v>169</v>
      </c>
      <c r="B19" s="126" t="s">
        <v>273</v>
      </c>
      <c r="C19" s="282"/>
      <c r="D19" s="181"/>
      <c r="E19" s="582"/>
      <c r="F19" s="163"/>
      <c r="G19" s="582"/>
      <c r="H19" s="583"/>
      <c r="I19" s="590"/>
      <c r="J19" s="591"/>
      <c r="K19" s="590"/>
      <c r="L19" s="592"/>
      <c r="M19" s="592"/>
      <c r="N19" s="592"/>
      <c r="O19" s="592"/>
      <c r="P19" s="590"/>
      <c r="Q19" s="592"/>
      <c r="R19" s="592"/>
      <c r="S19" s="592"/>
      <c r="T19" s="592"/>
      <c r="U19" s="128"/>
      <c r="V19" s="128"/>
      <c r="W19" s="785"/>
      <c r="X19" s="785"/>
      <c r="Y19" s="785"/>
      <c r="Z19" s="785"/>
      <c r="AA19" s="785"/>
      <c r="AB19" s="785"/>
      <c r="AC19" s="785"/>
      <c r="AD19" s="785"/>
      <c r="AE19" s="785"/>
      <c r="AF19" s="785"/>
      <c r="AG19" s="785"/>
      <c r="AH19" s="785"/>
      <c r="AI19" s="785"/>
      <c r="AJ19" s="785"/>
      <c r="AK19" s="785"/>
      <c r="AL19" s="785"/>
      <c r="AM19" s="785"/>
      <c r="AN19" s="785"/>
      <c r="AO19" s="785"/>
      <c r="AP19" s="785"/>
      <c r="AQ19" s="785"/>
      <c r="AR19" s="785"/>
      <c r="AS19" s="785"/>
      <c r="AT19" s="785"/>
      <c r="AU19" s="785"/>
      <c r="AV19" s="785"/>
      <c r="AW19" s="785"/>
      <c r="AX19" s="785"/>
      <c r="AY19" s="785"/>
      <c r="AZ19" s="785"/>
      <c r="BA19" s="785"/>
      <c r="BB19" s="785"/>
      <c r="BC19" s="785"/>
      <c r="BD19" s="785"/>
    </row>
    <row r="20" spans="1:56" s="47" customFormat="1" ht="18.75" customHeight="1">
      <c r="A20" s="586" t="s">
        <v>337</v>
      </c>
      <c r="B20" s="235" t="s">
        <v>188</v>
      </c>
      <c r="C20" s="129" t="s">
        <v>186</v>
      </c>
      <c r="D20" s="593">
        <v>590</v>
      </c>
      <c r="E20" s="238">
        <v>590</v>
      </c>
      <c r="F20" s="130">
        <v>582</v>
      </c>
      <c r="G20" s="130">
        <v>582</v>
      </c>
      <c r="H20" s="310">
        <f>SUM(I20:T20)</f>
        <v>590</v>
      </c>
      <c r="I20" s="450">
        <v>162</v>
      </c>
      <c r="J20" s="450">
        <v>73</v>
      </c>
      <c r="K20" s="450">
        <v>86</v>
      </c>
      <c r="L20" s="450">
        <v>125</v>
      </c>
      <c r="M20" s="450">
        <v>73</v>
      </c>
      <c r="N20" s="450">
        <v>18</v>
      </c>
      <c r="O20" s="450">
        <v>10</v>
      </c>
      <c r="P20" s="450">
        <v>39</v>
      </c>
      <c r="Q20" s="450"/>
      <c r="R20" s="450">
        <v>4</v>
      </c>
      <c r="S20" s="450"/>
      <c r="T20" s="450"/>
      <c r="U20" s="236">
        <f>G20/D20%</f>
        <v>98.64406779661016</v>
      </c>
      <c r="V20" s="236">
        <f>H20/G20%</f>
        <v>101.37457044673539</v>
      </c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</row>
    <row r="21" spans="1:56" s="47" customFormat="1" ht="18.75" customHeight="1">
      <c r="A21" s="586" t="s">
        <v>337</v>
      </c>
      <c r="B21" s="235" t="s">
        <v>242</v>
      </c>
      <c r="C21" s="129" t="s">
        <v>486</v>
      </c>
      <c r="D21" s="594">
        <v>61.8633</v>
      </c>
      <c r="E21" s="236">
        <v>62.338</v>
      </c>
      <c r="F21" s="161">
        <f>F22/F20*10</f>
        <v>62.199999999999996</v>
      </c>
      <c r="G21" s="161">
        <f>G22/G20*10</f>
        <v>62.199999999999996</v>
      </c>
      <c r="H21" s="309">
        <f>H22/H20*10</f>
        <v>62.886949152542385</v>
      </c>
      <c r="I21" s="452">
        <v>67</v>
      </c>
      <c r="J21" s="451">
        <v>63.8</v>
      </c>
      <c r="K21" s="451">
        <v>57.8</v>
      </c>
      <c r="L21" s="451">
        <v>63.8</v>
      </c>
      <c r="M21" s="451">
        <v>62.5</v>
      </c>
      <c r="N21" s="451">
        <v>56.7</v>
      </c>
      <c r="O21" s="452">
        <v>59</v>
      </c>
      <c r="P21" s="451">
        <v>57.8</v>
      </c>
      <c r="Q21" s="451"/>
      <c r="R21" s="451">
        <v>54.7</v>
      </c>
      <c r="S21" s="451"/>
      <c r="T21" s="451"/>
      <c r="U21" s="237">
        <f>G21/D21%</f>
        <v>100.54426453163668</v>
      </c>
      <c r="V21" s="237">
        <f>H21/G21%</f>
        <v>101.1044198593929</v>
      </c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</row>
    <row r="22" spans="1:56" s="47" customFormat="1" ht="18.75" customHeight="1">
      <c r="A22" s="586" t="s">
        <v>337</v>
      </c>
      <c r="B22" s="235" t="s">
        <v>190</v>
      </c>
      <c r="C22" s="129" t="s">
        <v>185</v>
      </c>
      <c r="D22" s="594">
        <f>D20*D21/10</f>
        <v>3649.9347000000002</v>
      </c>
      <c r="E22" s="236">
        <f>E20*E21/10</f>
        <v>3677.942</v>
      </c>
      <c r="F22" s="595">
        <v>3620.04</v>
      </c>
      <c r="G22" s="595">
        <v>3620.04</v>
      </c>
      <c r="H22" s="585">
        <f>SUM(I22:T22)</f>
        <v>3710.3300000000004</v>
      </c>
      <c r="I22" s="452">
        <f>+I21*I20/10</f>
        <v>1085.4</v>
      </c>
      <c r="J22" s="452">
        <f aca="true" t="shared" si="7" ref="J22:R22">+J21*J20/10</f>
        <v>465.73999999999995</v>
      </c>
      <c r="K22" s="452">
        <f t="shared" si="7"/>
        <v>497.08000000000004</v>
      </c>
      <c r="L22" s="452">
        <f t="shared" si="7"/>
        <v>797.5</v>
      </c>
      <c r="M22" s="452">
        <f t="shared" si="7"/>
        <v>456.25</v>
      </c>
      <c r="N22" s="452">
        <f t="shared" si="7"/>
        <v>102.06</v>
      </c>
      <c r="O22" s="452">
        <f t="shared" si="7"/>
        <v>59</v>
      </c>
      <c r="P22" s="452">
        <f t="shared" si="7"/>
        <v>225.42</v>
      </c>
      <c r="Q22" s="452"/>
      <c r="R22" s="452">
        <f t="shared" si="7"/>
        <v>21.880000000000003</v>
      </c>
      <c r="S22" s="452"/>
      <c r="T22" s="452"/>
      <c r="U22" s="236">
        <f>G22/D22%</f>
        <v>99.18095247019076</v>
      </c>
      <c r="V22" s="237">
        <f>H22/G22%</f>
        <v>102.49417133512337</v>
      </c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</row>
    <row r="23" spans="1:56" s="33" customFormat="1" ht="18.75" customHeight="1">
      <c r="A23" s="282" t="s">
        <v>170</v>
      </c>
      <c r="B23" s="126" t="s">
        <v>191</v>
      </c>
      <c r="C23" s="596"/>
      <c r="D23" s="181"/>
      <c r="E23" s="181"/>
      <c r="F23" s="582"/>
      <c r="G23" s="582"/>
      <c r="H23" s="585"/>
      <c r="I23" s="597"/>
      <c r="J23" s="597"/>
      <c r="K23" s="597"/>
      <c r="L23" s="597"/>
      <c r="M23" s="597"/>
      <c r="N23" s="597"/>
      <c r="O23" s="597"/>
      <c r="P23" s="597"/>
      <c r="Q23" s="597"/>
      <c r="R23" s="597"/>
      <c r="S23" s="597"/>
      <c r="T23" s="597"/>
      <c r="U23" s="128"/>
      <c r="V23" s="128"/>
      <c r="W23" s="785"/>
      <c r="X23" s="785"/>
      <c r="Y23" s="785"/>
      <c r="Z23" s="785"/>
      <c r="AA23" s="785"/>
      <c r="AB23" s="785"/>
      <c r="AC23" s="785"/>
      <c r="AD23" s="785"/>
      <c r="AE23" s="785"/>
      <c r="AF23" s="785"/>
      <c r="AG23" s="785"/>
      <c r="AH23" s="785"/>
      <c r="AI23" s="785"/>
      <c r="AJ23" s="785"/>
      <c r="AK23" s="785"/>
      <c r="AL23" s="785"/>
      <c r="AM23" s="785"/>
      <c r="AN23" s="785"/>
      <c r="AO23" s="785"/>
      <c r="AP23" s="785"/>
      <c r="AQ23" s="785"/>
      <c r="AR23" s="785"/>
      <c r="AS23" s="785"/>
      <c r="AT23" s="785"/>
      <c r="AU23" s="785"/>
      <c r="AV23" s="785"/>
      <c r="AW23" s="785"/>
      <c r="AX23" s="785"/>
      <c r="AY23" s="785"/>
      <c r="AZ23" s="785"/>
      <c r="BA23" s="785"/>
      <c r="BB23" s="785"/>
      <c r="BC23" s="785"/>
      <c r="BD23" s="785"/>
    </row>
    <row r="24" spans="1:22" ht="18.75" customHeight="1">
      <c r="A24" s="586" t="s">
        <v>337</v>
      </c>
      <c r="B24" s="235" t="s">
        <v>188</v>
      </c>
      <c r="C24" s="129" t="s">
        <v>186</v>
      </c>
      <c r="D24" s="447">
        <v>2055</v>
      </c>
      <c r="E24" s="598">
        <v>2054</v>
      </c>
      <c r="F24" s="182">
        <v>1177</v>
      </c>
      <c r="G24" s="598">
        <v>2054</v>
      </c>
      <c r="H24" s="310">
        <f>SUM(I24:T24)</f>
        <v>2054</v>
      </c>
      <c r="I24" s="453">
        <v>196</v>
      </c>
      <c r="J24" s="453">
        <v>275</v>
      </c>
      <c r="K24" s="453">
        <v>282</v>
      </c>
      <c r="L24" s="453">
        <v>180</v>
      </c>
      <c r="M24" s="453">
        <v>232</v>
      </c>
      <c r="N24" s="453">
        <v>234</v>
      </c>
      <c r="O24" s="453">
        <v>120</v>
      </c>
      <c r="P24" s="453">
        <v>176</v>
      </c>
      <c r="Q24" s="453">
        <v>60</v>
      </c>
      <c r="R24" s="453">
        <v>135</v>
      </c>
      <c r="S24" s="453">
        <v>121</v>
      </c>
      <c r="T24" s="453">
        <v>43</v>
      </c>
      <c r="U24" s="236">
        <f>G24/D24%</f>
        <v>99.95133819951337</v>
      </c>
      <c r="V24" s="238">
        <f>H24/G24%</f>
        <v>100</v>
      </c>
    </row>
    <row r="25" spans="1:22" ht="18.75" customHeight="1">
      <c r="A25" s="586" t="s">
        <v>337</v>
      </c>
      <c r="B25" s="235" t="s">
        <v>189</v>
      </c>
      <c r="C25" s="129" t="s">
        <v>486</v>
      </c>
      <c r="D25" s="447">
        <v>45</v>
      </c>
      <c r="E25" s="599">
        <v>45.3428</v>
      </c>
      <c r="F25" s="161"/>
      <c r="G25" s="599">
        <v>45.3428</v>
      </c>
      <c r="H25" s="309">
        <f>H26/H24*10</f>
        <v>45.86854917234664</v>
      </c>
      <c r="I25" s="454">
        <v>52.5</v>
      </c>
      <c r="J25" s="454">
        <v>52.1</v>
      </c>
      <c r="K25" s="454">
        <v>46.7</v>
      </c>
      <c r="L25" s="454">
        <v>46.8</v>
      </c>
      <c r="M25" s="454">
        <v>46.3</v>
      </c>
      <c r="N25" s="454">
        <v>42.8</v>
      </c>
      <c r="O25" s="454">
        <v>41.2</v>
      </c>
      <c r="P25" s="454">
        <v>41.9</v>
      </c>
      <c r="Q25" s="454">
        <v>41.6</v>
      </c>
      <c r="R25" s="454">
        <v>42.5</v>
      </c>
      <c r="S25" s="454">
        <v>41.1</v>
      </c>
      <c r="T25" s="454">
        <v>40.8</v>
      </c>
      <c r="U25" s="236">
        <f>G25/D25%</f>
        <v>100.76177777777777</v>
      </c>
      <c r="V25" s="236">
        <f>H25/G25%</f>
        <v>101.15949869074394</v>
      </c>
    </row>
    <row r="26" spans="1:22" ht="18.75" customHeight="1">
      <c r="A26" s="586" t="s">
        <v>337</v>
      </c>
      <c r="B26" s="235" t="s">
        <v>190</v>
      </c>
      <c r="C26" s="129" t="s">
        <v>185</v>
      </c>
      <c r="D26" s="600">
        <v>9247.84</v>
      </c>
      <c r="E26" s="599">
        <f>E25*E24/10</f>
        <v>9313.41112</v>
      </c>
      <c r="F26" s="182"/>
      <c r="G26" s="599">
        <f>G25*G24/10</f>
        <v>9313.41112</v>
      </c>
      <c r="H26" s="309">
        <f>SUM(I26:T26)</f>
        <v>9421.4</v>
      </c>
      <c r="I26" s="455">
        <f>+I25*I24/10</f>
        <v>1029</v>
      </c>
      <c r="J26" s="454">
        <f aca="true" t="shared" si="8" ref="J26:T26">+J25*J24/10</f>
        <v>1432.75</v>
      </c>
      <c r="K26" s="454">
        <f t="shared" si="8"/>
        <v>1316.94</v>
      </c>
      <c r="L26" s="455">
        <f t="shared" si="8"/>
        <v>842.4</v>
      </c>
      <c r="M26" s="454">
        <v>1070.85</v>
      </c>
      <c r="N26" s="454">
        <f t="shared" si="8"/>
        <v>1001.5199999999999</v>
      </c>
      <c r="O26" s="455">
        <f t="shared" si="8"/>
        <v>494.4</v>
      </c>
      <c r="P26" s="454">
        <f t="shared" si="8"/>
        <v>737.4399999999999</v>
      </c>
      <c r="Q26" s="455">
        <f t="shared" si="8"/>
        <v>249.6</v>
      </c>
      <c r="R26" s="454">
        <f t="shared" si="8"/>
        <v>573.75</v>
      </c>
      <c r="S26" s="454">
        <f t="shared" si="8"/>
        <v>497.31000000000006</v>
      </c>
      <c r="T26" s="454">
        <f t="shared" si="8"/>
        <v>175.44</v>
      </c>
      <c r="U26" s="236">
        <f>G26/D26%</f>
        <v>100.70904254398864</v>
      </c>
      <c r="V26" s="236">
        <f>H26/G26%</f>
        <v>101.15949869074392</v>
      </c>
    </row>
    <row r="27" spans="1:56" s="33" customFormat="1" ht="18.75" customHeight="1">
      <c r="A27" s="282" t="s">
        <v>171</v>
      </c>
      <c r="B27" s="581" t="s">
        <v>243</v>
      </c>
      <c r="C27" s="282"/>
      <c r="D27" s="582"/>
      <c r="E27" s="582"/>
      <c r="F27" s="582"/>
      <c r="G27" s="181"/>
      <c r="H27" s="309"/>
      <c r="I27" s="583"/>
      <c r="J27" s="589"/>
      <c r="K27" s="589"/>
      <c r="L27" s="589"/>
      <c r="M27" s="589"/>
      <c r="N27" s="589"/>
      <c r="O27" s="589"/>
      <c r="P27" s="589"/>
      <c r="Q27" s="589"/>
      <c r="R27" s="589"/>
      <c r="S27" s="589"/>
      <c r="T27" s="589"/>
      <c r="U27" s="128"/>
      <c r="V27" s="128"/>
      <c r="W27" s="785"/>
      <c r="X27" s="785"/>
      <c r="Y27" s="785"/>
      <c r="Z27" s="785"/>
      <c r="AA27" s="785"/>
      <c r="AB27" s="785"/>
      <c r="AC27" s="785"/>
      <c r="AD27" s="785"/>
      <c r="AE27" s="785"/>
      <c r="AF27" s="785"/>
      <c r="AG27" s="785"/>
      <c r="AH27" s="785"/>
      <c r="AI27" s="785"/>
      <c r="AJ27" s="785"/>
      <c r="AK27" s="785"/>
      <c r="AL27" s="785"/>
      <c r="AM27" s="785"/>
      <c r="AN27" s="785"/>
      <c r="AO27" s="785"/>
      <c r="AP27" s="785"/>
      <c r="AQ27" s="785"/>
      <c r="AR27" s="785"/>
      <c r="AS27" s="785"/>
      <c r="AT27" s="785"/>
      <c r="AU27" s="785"/>
      <c r="AV27" s="785"/>
      <c r="AW27" s="785"/>
      <c r="AX27" s="785"/>
      <c r="AY27" s="785"/>
      <c r="AZ27" s="785"/>
      <c r="BA27" s="785"/>
      <c r="BB27" s="785"/>
      <c r="BC27" s="785"/>
      <c r="BD27" s="785"/>
    </row>
    <row r="28" spans="1:22" ht="18.75" customHeight="1">
      <c r="A28" s="586" t="s">
        <v>337</v>
      </c>
      <c r="B28" s="235" t="s">
        <v>188</v>
      </c>
      <c r="C28" s="129" t="s">
        <v>186</v>
      </c>
      <c r="D28" s="447">
        <v>1578</v>
      </c>
      <c r="E28" s="598">
        <v>1386</v>
      </c>
      <c r="F28" s="458">
        <v>1336</v>
      </c>
      <c r="G28" s="458">
        <v>1336</v>
      </c>
      <c r="H28" s="310">
        <f>SUM(I28:T28)</f>
        <v>1248</v>
      </c>
      <c r="I28" s="450">
        <v>17</v>
      </c>
      <c r="J28" s="450">
        <v>200</v>
      </c>
      <c r="K28" s="450">
        <v>265</v>
      </c>
      <c r="L28" s="450">
        <v>35</v>
      </c>
      <c r="M28" s="450">
        <v>100</v>
      </c>
      <c r="N28" s="450">
        <f>+-50+342</f>
        <v>292</v>
      </c>
      <c r="O28" s="450">
        <v>44</v>
      </c>
      <c r="P28" s="450">
        <v>35</v>
      </c>
      <c r="Q28" s="450">
        <v>50</v>
      </c>
      <c r="R28" s="450">
        <v>30</v>
      </c>
      <c r="S28" s="450">
        <v>100</v>
      </c>
      <c r="T28" s="450">
        <v>80</v>
      </c>
      <c r="U28" s="237">
        <f>G28/D28%</f>
        <v>84.66413181242079</v>
      </c>
      <c r="V28" s="236">
        <f>H28/G28%</f>
        <v>93.41317365269461</v>
      </c>
    </row>
    <row r="29" spans="1:22" ht="18.75" customHeight="1">
      <c r="A29" s="586" t="s">
        <v>337</v>
      </c>
      <c r="B29" s="235" t="s">
        <v>189</v>
      </c>
      <c r="C29" s="129" t="s">
        <v>486</v>
      </c>
      <c r="D29" s="600">
        <v>15.7</v>
      </c>
      <c r="E29" s="601">
        <v>15.91437</v>
      </c>
      <c r="F29" s="458"/>
      <c r="G29" s="457">
        <v>15.8</v>
      </c>
      <c r="H29" s="309">
        <f>H30/H28*10</f>
        <v>15.929342948717949</v>
      </c>
      <c r="I29" s="456">
        <v>16.2</v>
      </c>
      <c r="J29" s="458">
        <v>17</v>
      </c>
      <c r="K29" s="457">
        <v>15.75</v>
      </c>
      <c r="L29" s="457">
        <v>15.6</v>
      </c>
      <c r="M29" s="457">
        <v>15.5</v>
      </c>
      <c r="N29" s="457">
        <v>15.5</v>
      </c>
      <c r="O29" s="457">
        <f>+O30*10/O28</f>
        <v>17.7425</v>
      </c>
      <c r="P29" s="457">
        <v>15.8</v>
      </c>
      <c r="Q29" s="457">
        <v>15.6</v>
      </c>
      <c r="R29" s="457">
        <v>15.5</v>
      </c>
      <c r="S29" s="457">
        <v>15.5</v>
      </c>
      <c r="T29" s="458">
        <v>16</v>
      </c>
      <c r="U29" s="236">
        <f>G29/D29%</f>
        <v>100.63694267515923</v>
      </c>
      <c r="V29" s="236">
        <f>H29/G29%</f>
        <v>100.81862625770853</v>
      </c>
    </row>
    <row r="30" spans="1:22" ht="18.75" customHeight="1">
      <c r="A30" s="586" t="s">
        <v>337</v>
      </c>
      <c r="B30" s="235" t="s">
        <v>190</v>
      </c>
      <c r="C30" s="129" t="s">
        <v>185</v>
      </c>
      <c r="D30" s="600">
        <f>D28*D29/10</f>
        <v>2477.46</v>
      </c>
      <c r="E30" s="601">
        <f>E29*E28/10</f>
        <v>2205.731682</v>
      </c>
      <c r="F30" s="457"/>
      <c r="G30" s="459">
        <f>+G29*G28/10</f>
        <v>2110.88</v>
      </c>
      <c r="H30" s="585">
        <f>SUM(I30:T30)</f>
        <v>1987.982</v>
      </c>
      <c r="I30" s="457">
        <f>+I29*I28/10</f>
        <v>27.54</v>
      </c>
      <c r="J30" s="458">
        <f aca="true" t="shared" si="9" ref="J30:T30">+J29*J28/10</f>
        <v>340</v>
      </c>
      <c r="K30" s="459">
        <f t="shared" si="9"/>
        <v>417.375</v>
      </c>
      <c r="L30" s="457">
        <f t="shared" si="9"/>
        <v>54.6</v>
      </c>
      <c r="M30" s="458">
        <f t="shared" si="9"/>
        <v>155</v>
      </c>
      <c r="N30" s="457">
        <f t="shared" si="9"/>
        <v>452.6</v>
      </c>
      <c r="O30" s="459">
        <v>78.067</v>
      </c>
      <c r="P30" s="457">
        <f t="shared" si="9"/>
        <v>55.3</v>
      </c>
      <c r="Q30" s="458">
        <f t="shared" si="9"/>
        <v>78</v>
      </c>
      <c r="R30" s="457">
        <f t="shared" si="9"/>
        <v>46.5</v>
      </c>
      <c r="S30" s="458">
        <f t="shared" si="9"/>
        <v>155</v>
      </c>
      <c r="T30" s="458">
        <f t="shared" si="9"/>
        <v>128</v>
      </c>
      <c r="U30" s="237">
        <f>G30/D30%</f>
        <v>85.20339379848717</v>
      </c>
      <c r="V30" s="236">
        <f>H30/G30%</f>
        <v>94.17787842037443</v>
      </c>
    </row>
    <row r="31" spans="1:22" ht="18.75" customHeight="1">
      <c r="A31" s="282">
        <v>2</v>
      </c>
      <c r="B31" s="581" t="s">
        <v>280</v>
      </c>
      <c r="C31" s="129"/>
      <c r="D31" s="79"/>
      <c r="E31" s="130"/>
      <c r="F31" s="130"/>
      <c r="G31" s="130"/>
      <c r="H31" s="309"/>
      <c r="I31" s="585"/>
      <c r="J31" s="309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237"/>
      <c r="V31" s="128"/>
    </row>
    <row r="32" spans="1:56" s="33" customFormat="1" ht="18.75" customHeight="1">
      <c r="A32" s="282" t="s">
        <v>175</v>
      </c>
      <c r="B32" s="581" t="s">
        <v>188</v>
      </c>
      <c r="C32" s="282" t="s">
        <v>186</v>
      </c>
      <c r="D32" s="163">
        <f>D36+D40</f>
        <v>5163</v>
      </c>
      <c r="E32" s="163">
        <f>E36+E40</f>
        <v>5163</v>
      </c>
      <c r="F32" s="163">
        <f>F36+F40</f>
        <v>5163</v>
      </c>
      <c r="G32" s="163">
        <f>G36+G40</f>
        <v>5163</v>
      </c>
      <c r="H32" s="584">
        <f>SUM(I32:T32)</f>
        <v>5163</v>
      </c>
      <c r="I32" s="584">
        <f aca="true" t="shared" si="10" ref="I32:T32">I36+I40</f>
        <v>70</v>
      </c>
      <c r="J32" s="584">
        <f t="shared" si="10"/>
        <v>585</v>
      </c>
      <c r="K32" s="584">
        <f t="shared" si="10"/>
        <v>450</v>
      </c>
      <c r="L32" s="584">
        <f t="shared" si="10"/>
        <v>175</v>
      </c>
      <c r="M32" s="584">
        <f t="shared" si="10"/>
        <v>340</v>
      </c>
      <c r="N32" s="584">
        <f t="shared" si="10"/>
        <v>670</v>
      </c>
      <c r="O32" s="584">
        <f t="shared" si="10"/>
        <v>480</v>
      </c>
      <c r="P32" s="584">
        <f t="shared" si="10"/>
        <v>470</v>
      </c>
      <c r="Q32" s="584">
        <f t="shared" si="10"/>
        <v>475</v>
      </c>
      <c r="R32" s="584">
        <f t="shared" si="10"/>
        <v>525</v>
      </c>
      <c r="S32" s="584">
        <f t="shared" si="10"/>
        <v>670</v>
      </c>
      <c r="T32" s="584">
        <f t="shared" si="10"/>
        <v>253</v>
      </c>
      <c r="U32" s="284">
        <f>G32/D32%</f>
        <v>100</v>
      </c>
      <c r="V32" s="284">
        <f>H32/G32%</f>
        <v>100</v>
      </c>
      <c r="W32" s="785"/>
      <c r="X32" s="785"/>
      <c r="Y32" s="785"/>
      <c r="Z32" s="785"/>
      <c r="AA32" s="785"/>
      <c r="AB32" s="785"/>
      <c r="AC32" s="785"/>
      <c r="AD32" s="785"/>
      <c r="AE32" s="785"/>
      <c r="AF32" s="785"/>
      <c r="AG32" s="785"/>
      <c r="AH32" s="785"/>
      <c r="AI32" s="785"/>
      <c r="AJ32" s="785"/>
      <c r="AK32" s="785"/>
      <c r="AL32" s="785"/>
      <c r="AM32" s="785"/>
      <c r="AN32" s="785"/>
      <c r="AO32" s="785"/>
      <c r="AP32" s="785"/>
      <c r="AQ32" s="785"/>
      <c r="AR32" s="785"/>
      <c r="AS32" s="785"/>
      <c r="AT32" s="785"/>
      <c r="AU32" s="785"/>
      <c r="AV32" s="785"/>
      <c r="AW32" s="785"/>
      <c r="AX32" s="785"/>
      <c r="AY32" s="785"/>
      <c r="AZ32" s="785"/>
      <c r="BA32" s="785"/>
      <c r="BB32" s="785"/>
      <c r="BC32" s="785"/>
      <c r="BD32" s="785"/>
    </row>
    <row r="33" spans="1:56" s="33" customFormat="1" ht="18.75" customHeight="1">
      <c r="A33" s="282" t="s">
        <v>175</v>
      </c>
      <c r="B33" s="126" t="s">
        <v>189</v>
      </c>
      <c r="C33" s="282" t="s">
        <v>486</v>
      </c>
      <c r="D33" s="163">
        <f>D34/D32*10</f>
        <v>26.0011858221964</v>
      </c>
      <c r="E33" s="582">
        <f>E34/E32*10</f>
        <v>26.481141584350183</v>
      </c>
      <c r="F33" s="582">
        <f>F34/F32*10</f>
        <v>0.5100522951772226</v>
      </c>
      <c r="G33" s="582">
        <f>G34/G32*10</f>
        <v>26.522254503195818</v>
      </c>
      <c r="H33" s="583">
        <f>+H34*10/H32</f>
        <v>26.827697075343796</v>
      </c>
      <c r="I33" s="584">
        <f>I34/I32*10</f>
        <v>27</v>
      </c>
      <c r="J33" s="584">
        <f aca="true" t="shared" si="11" ref="J33:T33">J34/J32*10</f>
        <v>27</v>
      </c>
      <c r="K33" s="584">
        <f t="shared" si="11"/>
        <v>27</v>
      </c>
      <c r="L33" s="584">
        <f t="shared" si="11"/>
        <v>27</v>
      </c>
      <c r="M33" s="589">
        <f t="shared" si="11"/>
        <v>27.199999999999996</v>
      </c>
      <c r="N33" s="589">
        <f t="shared" si="11"/>
        <v>25.602985074626865</v>
      </c>
      <c r="O33" s="584">
        <f t="shared" si="11"/>
        <v>27</v>
      </c>
      <c r="P33" s="584">
        <f t="shared" si="11"/>
        <v>27</v>
      </c>
      <c r="Q33" s="584">
        <f t="shared" si="11"/>
        <v>27</v>
      </c>
      <c r="R33" s="584">
        <f t="shared" si="11"/>
        <v>27</v>
      </c>
      <c r="S33" s="584">
        <f t="shared" si="11"/>
        <v>27</v>
      </c>
      <c r="T33" s="589">
        <f t="shared" si="11"/>
        <v>26.914624505928856</v>
      </c>
      <c r="U33" s="283">
        <f>G33/D33%</f>
        <v>102.0040189111475</v>
      </c>
      <c r="V33" s="283">
        <f>H33/G33%</f>
        <v>101.1516463357637</v>
      </c>
      <c r="W33" s="785"/>
      <c r="X33" s="785"/>
      <c r="Y33" s="785"/>
      <c r="Z33" s="785"/>
      <c r="AA33" s="785"/>
      <c r="AB33" s="785"/>
      <c r="AC33" s="785"/>
      <c r="AD33" s="785"/>
      <c r="AE33" s="785"/>
      <c r="AF33" s="785"/>
      <c r="AG33" s="785"/>
      <c r="AH33" s="785"/>
      <c r="AI33" s="785"/>
      <c r="AJ33" s="785"/>
      <c r="AK33" s="785"/>
      <c r="AL33" s="785"/>
      <c r="AM33" s="785"/>
      <c r="AN33" s="785"/>
      <c r="AO33" s="785"/>
      <c r="AP33" s="785"/>
      <c r="AQ33" s="785"/>
      <c r="AR33" s="785"/>
      <c r="AS33" s="785"/>
      <c r="AT33" s="785"/>
      <c r="AU33" s="785"/>
      <c r="AV33" s="785"/>
      <c r="AW33" s="785"/>
      <c r="AX33" s="785"/>
      <c r="AY33" s="785"/>
      <c r="AZ33" s="785"/>
      <c r="BA33" s="785"/>
      <c r="BB33" s="785"/>
      <c r="BC33" s="785"/>
      <c r="BD33" s="785"/>
    </row>
    <row r="34" spans="1:56" s="33" customFormat="1" ht="18.75" customHeight="1">
      <c r="A34" s="282" t="s">
        <v>175</v>
      </c>
      <c r="B34" s="126" t="s">
        <v>190</v>
      </c>
      <c r="C34" s="282" t="s">
        <v>185</v>
      </c>
      <c r="D34" s="181">
        <f>D38+D42</f>
        <v>13424.412240000001</v>
      </c>
      <c r="E34" s="582">
        <f>E38+E42</f>
        <v>13672.2134</v>
      </c>
      <c r="F34" s="582">
        <f>F38+F42</f>
        <v>263.34000000000003</v>
      </c>
      <c r="G34" s="181">
        <f>G38+G42</f>
        <v>13693.44</v>
      </c>
      <c r="H34" s="589">
        <f>SUM(I34:T34)</f>
        <v>13851.140000000001</v>
      </c>
      <c r="I34" s="589">
        <f>I38+I42</f>
        <v>189</v>
      </c>
      <c r="J34" s="589">
        <f aca="true" t="shared" si="12" ref="J34:T34">J38+J42</f>
        <v>1579.5</v>
      </c>
      <c r="K34" s="584">
        <f t="shared" si="12"/>
        <v>1215</v>
      </c>
      <c r="L34" s="584">
        <f t="shared" si="12"/>
        <v>472.5</v>
      </c>
      <c r="M34" s="589">
        <f t="shared" si="12"/>
        <v>924.8</v>
      </c>
      <c r="N34" s="589">
        <f t="shared" si="12"/>
        <v>1715.4</v>
      </c>
      <c r="O34" s="589">
        <f t="shared" si="12"/>
        <v>1296</v>
      </c>
      <c r="P34" s="589">
        <f t="shared" si="12"/>
        <v>1269</v>
      </c>
      <c r="Q34" s="589">
        <f t="shared" si="12"/>
        <v>1282.5</v>
      </c>
      <c r="R34" s="589">
        <f t="shared" si="12"/>
        <v>1417.5</v>
      </c>
      <c r="S34" s="589">
        <f t="shared" si="12"/>
        <v>1809</v>
      </c>
      <c r="T34" s="589">
        <f t="shared" si="12"/>
        <v>680.94</v>
      </c>
      <c r="U34" s="283">
        <f>G34/D34%</f>
        <v>102.0040189111475</v>
      </c>
      <c r="V34" s="283">
        <f>H34/G34%</f>
        <v>101.1516463357637</v>
      </c>
      <c r="W34" s="785"/>
      <c r="X34" s="785"/>
      <c r="Y34" s="785"/>
      <c r="Z34" s="785"/>
      <c r="AA34" s="785"/>
      <c r="AB34" s="785"/>
      <c r="AC34" s="785"/>
      <c r="AD34" s="785"/>
      <c r="AE34" s="785"/>
      <c r="AF34" s="785"/>
      <c r="AG34" s="785"/>
      <c r="AH34" s="785"/>
      <c r="AI34" s="785"/>
      <c r="AJ34" s="785"/>
      <c r="AK34" s="785"/>
      <c r="AL34" s="785"/>
      <c r="AM34" s="785"/>
      <c r="AN34" s="785"/>
      <c r="AO34" s="785"/>
      <c r="AP34" s="785"/>
      <c r="AQ34" s="785"/>
      <c r="AR34" s="785"/>
      <c r="AS34" s="785"/>
      <c r="AT34" s="785"/>
      <c r="AU34" s="785"/>
      <c r="AV34" s="785"/>
      <c r="AW34" s="785"/>
      <c r="AX34" s="785"/>
      <c r="AY34" s="785"/>
      <c r="AZ34" s="785"/>
      <c r="BA34" s="785"/>
      <c r="BB34" s="785"/>
      <c r="BC34" s="785"/>
      <c r="BD34" s="785"/>
    </row>
    <row r="35" spans="1:56" s="33" customFormat="1" ht="18.75" customHeight="1">
      <c r="A35" s="282" t="s">
        <v>169</v>
      </c>
      <c r="B35" s="126" t="s">
        <v>313</v>
      </c>
      <c r="C35" s="282"/>
      <c r="D35" s="181"/>
      <c r="E35" s="181"/>
      <c r="F35" s="181"/>
      <c r="G35" s="582"/>
      <c r="H35" s="309"/>
      <c r="I35" s="589"/>
      <c r="J35" s="589"/>
      <c r="K35" s="589"/>
      <c r="L35" s="589"/>
      <c r="M35" s="589"/>
      <c r="N35" s="589"/>
      <c r="O35" s="589"/>
      <c r="P35" s="589"/>
      <c r="Q35" s="589"/>
      <c r="R35" s="589"/>
      <c r="S35" s="589"/>
      <c r="T35" s="589"/>
      <c r="U35" s="128"/>
      <c r="V35" s="128"/>
      <c r="W35" s="785"/>
      <c r="X35" s="785"/>
      <c r="Y35" s="785"/>
      <c r="Z35" s="785"/>
      <c r="AA35" s="785"/>
      <c r="AB35" s="785"/>
      <c r="AC35" s="785"/>
      <c r="AD35" s="785"/>
      <c r="AE35" s="785"/>
      <c r="AF35" s="785"/>
      <c r="AG35" s="785"/>
      <c r="AH35" s="785"/>
      <c r="AI35" s="785"/>
      <c r="AJ35" s="785"/>
      <c r="AK35" s="785"/>
      <c r="AL35" s="785"/>
      <c r="AM35" s="785"/>
      <c r="AN35" s="785"/>
      <c r="AO35" s="785"/>
      <c r="AP35" s="785"/>
      <c r="AQ35" s="785"/>
      <c r="AR35" s="785"/>
      <c r="AS35" s="785"/>
      <c r="AT35" s="785"/>
      <c r="AU35" s="785"/>
      <c r="AV35" s="785"/>
      <c r="AW35" s="785"/>
      <c r="AX35" s="785"/>
      <c r="AY35" s="785"/>
      <c r="AZ35" s="785"/>
      <c r="BA35" s="785"/>
      <c r="BB35" s="785"/>
      <c r="BC35" s="785"/>
      <c r="BD35" s="785"/>
    </row>
    <row r="36" spans="1:22" ht="18.75" customHeight="1">
      <c r="A36" s="129"/>
      <c r="B36" s="235" t="s">
        <v>188</v>
      </c>
      <c r="C36" s="129" t="s">
        <v>186</v>
      </c>
      <c r="D36" s="602">
        <v>133</v>
      </c>
      <c r="E36" s="598">
        <v>133</v>
      </c>
      <c r="F36" s="598">
        <v>133</v>
      </c>
      <c r="G36" s="598">
        <v>133</v>
      </c>
      <c r="H36" s="310">
        <f>SUM(I36:T36)</f>
        <v>133</v>
      </c>
      <c r="I36" s="460"/>
      <c r="J36" s="460"/>
      <c r="K36" s="460"/>
      <c r="L36" s="460"/>
      <c r="M36" s="460"/>
      <c r="N36" s="458">
        <v>130</v>
      </c>
      <c r="O36" s="460"/>
      <c r="P36" s="460"/>
      <c r="Q36" s="460"/>
      <c r="R36" s="460"/>
      <c r="S36" s="460"/>
      <c r="T36" s="458">
        <v>3</v>
      </c>
      <c r="U36" s="238">
        <f>G36/D36%</f>
        <v>100</v>
      </c>
      <c r="V36" s="238">
        <f>H36/G36%</f>
        <v>100</v>
      </c>
    </row>
    <row r="37" spans="1:22" ht="18.75" customHeight="1">
      <c r="A37" s="129"/>
      <c r="B37" s="235" t="s">
        <v>189</v>
      </c>
      <c r="C37" s="129" t="s">
        <v>486</v>
      </c>
      <c r="D37" s="603">
        <v>18.793</v>
      </c>
      <c r="E37" s="599">
        <v>19.8</v>
      </c>
      <c r="F37" s="599">
        <v>19.8</v>
      </c>
      <c r="G37" s="599">
        <v>19.8</v>
      </c>
      <c r="H37" s="309">
        <f>H38/H36*10</f>
        <v>19.799999999999997</v>
      </c>
      <c r="I37" s="461"/>
      <c r="J37" s="461"/>
      <c r="K37" s="461"/>
      <c r="L37" s="461"/>
      <c r="M37" s="461"/>
      <c r="N37" s="457">
        <v>19.8</v>
      </c>
      <c r="O37" s="461"/>
      <c r="P37" s="461"/>
      <c r="Q37" s="461"/>
      <c r="R37" s="461"/>
      <c r="S37" s="461"/>
      <c r="T37" s="456">
        <v>19.8</v>
      </c>
      <c r="U37" s="236">
        <f>G37/D37%</f>
        <v>105.3583781195126</v>
      </c>
      <c r="V37" s="238">
        <f>H37/G37%</f>
        <v>99.99999999999999</v>
      </c>
    </row>
    <row r="38" spans="1:22" ht="18.75" customHeight="1">
      <c r="A38" s="129"/>
      <c r="B38" s="235" t="s">
        <v>190</v>
      </c>
      <c r="C38" s="129" t="s">
        <v>185</v>
      </c>
      <c r="D38" s="594">
        <f>D36*D37/10</f>
        <v>249.9469</v>
      </c>
      <c r="E38" s="601">
        <f>E36*E37/10</f>
        <v>263.34000000000003</v>
      </c>
      <c r="F38" s="601">
        <f>F36*F37/10</f>
        <v>263.34000000000003</v>
      </c>
      <c r="G38" s="601">
        <f>G36*G37/10</f>
        <v>263.34000000000003</v>
      </c>
      <c r="H38" s="585">
        <f>SUM(I38:T38)</f>
        <v>263.34</v>
      </c>
      <c r="I38" s="462"/>
      <c r="J38" s="462"/>
      <c r="K38" s="462"/>
      <c r="L38" s="462"/>
      <c r="M38" s="462"/>
      <c r="N38" s="457">
        <f>+N37*N36/10</f>
        <v>257.4</v>
      </c>
      <c r="O38" s="457"/>
      <c r="P38" s="457"/>
      <c r="Q38" s="457"/>
      <c r="R38" s="457"/>
      <c r="S38" s="457"/>
      <c r="T38" s="457">
        <f>+T37*T36/10</f>
        <v>5.94</v>
      </c>
      <c r="U38" s="236">
        <f>G38/D38%</f>
        <v>105.3583781195126</v>
      </c>
      <c r="V38" s="238">
        <f>H38/G38%</f>
        <v>99.99999999999997</v>
      </c>
    </row>
    <row r="39" spans="1:56" s="33" customFormat="1" ht="18.75" customHeight="1">
      <c r="A39" s="282" t="s">
        <v>170</v>
      </c>
      <c r="B39" s="126" t="s">
        <v>314</v>
      </c>
      <c r="C39" s="282"/>
      <c r="D39" s="181"/>
      <c r="E39" s="181"/>
      <c r="F39" s="181"/>
      <c r="G39" s="181"/>
      <c r="H39" s="309"/>
      <c r="I39" s="589"/>
      <c r="J39" s="589"/>
      <c r="K39" s="589"/>
      <c r="L39" s="589"/>
      <c r="M39" s="589"/>
      <c r="N39" s="589"/>
      <c r="O39" s="589"/>
      <c r="P39" s="589"/>
      <c r="Q39" s="589"/>
      <c r="R39" s="589"/>
      <c r="S39" s="589"/>
      <c r="T39" s="589"/>
      <c r="U39" s="128"/>
      <c r="V39" s="128"/>
      <c r="W39" s="785"/>
      <c r="X39" s="785"/>
      <c r="Y39" s="785"/>
      <c r="Z39" s="785"/>
      <c r="AA39" s="785"/>
      <c r="AB39" s="785"/>
      <c r="AC39" s="785"/>
      <c r="AD39" s="785"/>
      <c r="AE39" s="785"/>
      <c r="AF39" s="785"/>
      <c r="AG39" s="785"/>
      <c r="AH39" s="785"/>
      <c r="AI39" s="785"/>
      <c r="AJ39" s="785"/>
      <c r="AK39" s="785"/>
      <c r="AL39" s="785"/>
      <c r="AM39" s="785"/>
      <c r="AN39" s="785"/>
      <c r="AO39" s="785"/>
      <c r="AP39" s="785"/>
      <c r="AQ39" s="785"/>
      <c r="AR39" s="785"/>
      <c r="AS39" s="785"/>
      <c r="AT39" s="785"/>
      <c r="AU39" s="785"/>
      <c r="AV39" s="785"/>
      <c r="AW39" s="785"/>
      <c r="AX39" s="785"/>
      <c r="AY39" s="785"/>
      <c r="AZ39" s="785"/>
      <c r="BA39" s="785"/>
      <c r="BB39" s="785"/>
      <c r="BC39" s="785"/>
      <c r="BD39" s="785"/>
    </row>
    <row r="40" spans="1:56" s="605" customFormat="1" ht="18.75" customHeight="1">
      <c r="A40" s="586" t="s">
        <v>337</v>
      </c>
      <c r="B40" s="235" t="s">
        <v>188</v>
      </c>
      <c r="C40" s="129" t="s">
        <v>186</v>
      </c>
      <c r="D40" s="604">
        <v>5030</v>
      </c>
      <c r="E40" s="598">
        <v>5030</v>
      </c>
      <c r="F40" s="182">
        <v>5030</v>
      </c>
      <c r="G40" s="458">
        <v>5030</v>
      </c>
      <c r="H40" s="310">
        <f>SUM(I40:T40)</f>
        <v>5030</v>
      </c>
      <c r="I40" s="463">
        <v>70</v>
      </c>
      <c r="J40" s="463">
        <v>585</v>
      </c>
      <c r="K40" s="463">
        <v>450</v>
      </c>
      <c r="L40" s="463">
        <v>175</v>
      </c>
      <c r="M40" s="463">
        <v>340</v>
      </c>
      <c r="N40" s="463">
        <v>540</v>
      </c>
      <c r="O40" s="463">
        <v>480</v>
      </c>
      <c r="P40" s="463">
        <v>470</v>
      </c>
      <c r="Q40" s="463">
        <v>475</v>
      </c>
      <c r="R40" s="464">
        <v>525</v>
      </c>
      <c r="S40" s="463">
        <v>670</v>
      </c>
      <c r="T40" s="463">
        <v>250</v>
      </c>
      <c r="U40" s="238">
        <f>G40/D40%</f>
        <v>100</v>
      </c>
      <c r="V40" s="238">
        <f>H40/G40%</f>
        <v>100</v>
      </c>
      <c r="W40" s="787"/>
      <c r="X40" s="787"/>
      <c r="Y40" s="787"/>
      <c r="Z40" s="787"/>
      <c r="AA40" s="787"/>
      <c r="AB40" s="787"/>
      <c r="AC40" s="787"/>
      <c r="AD40" s="787"/>
      <c r="AE40" s="787"/>
      <c r="AF40" s="787"/>
      <c r="AG40" s="787"/>
      <c r="AH40" s="787"/>
      <c r="AI40" s="787"/>
      <c r="AJ40" s="787"/>
      <c r="AK40" s="787"/>
      <c r="AL40" s="787"/>
      <c r="AM40" s="787"/>
      <c r="AN40" s="787"/>
      <c r="AO40" s="787"/>
      <c r="AP40" s="787"/>
      <c r="AQ40" s="787"/>
      <c r="AR40" s="787"/>
      <c r="AS40" s="787"/>
      <c r="AT40" s="787"/>
      <c r="AU40" s="787"/>
      <c r="AV40" s="787"/>
      <c r="AW40" s="787"/>
      <c r="AX40" s="787"/>
      <c r="AY40" s="787"/>
      <c r="AZ40" s="787"/>
      <c r="BA40" s="787"/>
      <c r="BB40" s="787"/>
      <c r="BC40" s="787"/>
      <c r="BD40" s="787"/>
    </row>
    <row r="41" spans="1:56" s="605" customFormat="1" ht="18.75" customHeight="1">
      <c r="A41" s="586" t="s">
        <v>337</v>
      </c>
      <c r="B41" s="235" t="s">
        <v>242</v>
      </c>
      <c r="C41" s="129" t="s">
        <v>486</v>
      </c>
      <c r="D41" s="594">
        <v>26.19178</v>
      </c>
      <c r="E41" s="601">
        <v>26.6578</v>
      </c>
      <c r="F41" s="595"/>
      <c r="G41" s="457">
        <v>26.7</v>
      </c>
      <c r="H41" s="310">
        <f>H42/H40*10</f>
        <v>27.01351888667992</v>
      </c>
      <c r="I41" s="458">
        <v>27</v>
      </c>
      <c r="J41" s="458">
        <v>27</v>
      </c>
      <c r="K41" s="458">
        <v>27</v>
      </c>
      <c r="L41" s="458">
        <v>27</v>
      </c>
      <c r="M41" s="457">
        <v>27.2</v>
      </c>
      <c r="N41" s="458">
        <v>27</v>
      </c>
      <c r="O41" s="458">
        <v>27</v>
      </c>
      <c r="P41" s="458">
        <v>27</v>
      </c>
      <c r="Q41" s="458">
        <v>27</v>
      </c>
      <c r="R41" s="458">
        <v>27</v>
      </c>
      <c r="S41" s="458">
        <v>27</v>
      </c>
      <c r="T41" s="458">
        <v>27</v>
      </c>
      <c r="U41" s="236">
        <f>G41/D41%</f>
        <v>101.94037976800354</v>
      </c>
      <c r="V41" s="236">
        <f>H41/G41%</f>
        <v>101.17422803999969</v>
      </c>
      <c r="W41" s="787"/>
      <c r="X41" s="787"/>
      <c r="Y41" s="787"/>
      <c r="Z41" s="787"/>
      <c r="AA41" s="787"/>
      <c r="AB41" s="787"/>
      <c r="AC41" s="787"/>
      <c r="AD41" s="787"/>
      <c r="AE41" s="787"/>
      <c r="AF41" s="787"/>
      <c r="AG41" s="787"/>
      <c r="AH41" s="787"/>
      <c r="AI41" s="787"/>
      <c r="AJ41" s="787"/>
      <c r="AK41" s="787"/>
      <c r="AL41" s="787"/>
      <c r="AM41" s="787"/>
      <c r="AN41" s="787"/>
      <c r="AO41" s="787"/>
      <c r="AP41" s="787"/>
      <c r="AQ41" s="787"/>
      <c r="AR41" s="787"/>
      <c r="AS41" s="787"/>
      <c r="AT41" s="787"/>
      <c r="AU41" s="787"/>
      <c r="AV41" s="787"/>
      <c r="AW41" s="787"/>
      <c r="AX41" s="787"/>
      <c r="AY41" s="787"/>
      <c r="AZ41" s="787"/>
      <c r="BA41" s="787"/>
      <c r="BB41" s="787"/>
      <c r="BC41" s="787"/>
      <c r="BD41" s="787"/>
    </row>
    <row r="42" spans="1:56" s="605" customFormat="1" ht="18.75" customHeight="1">
      <c r="A42" s="586" t="s">
        <v>337</v>
      </c>
      <c r="B42" s="235" t="s">
        <v>190</v>
      </c>
      <c r="C42" s="129" t="s">
        <v>185</v>
      </c>
      <c r="D42" s="594">
        <f>D40*D41/10</f>
        <v>13174.46534</v>
      </c>
      <c r="E42" s="599">
        <f>E40*E41/10</f>
        <v>13408.8734</v>
      </c>
      <c r="F42" s="161"/>
      <c r="G42" s="457">
        <f>+G41*G40/10</f>
        <v>13430.1</v>
      </c>
      <c r="H42" s="309">
        <f>SUM(I42:T42)</f>
        <v>13587.8</v>
      </c>
      <c r="I42" s="458">
        <f>+I41*I40/10</f>
        <v>189</v>
      </c>
      <c r="J42" s="457">
        <f aca="true" t="shared" si="13" ref="J42:T42">+J41*J40/10</f>
        <v>1579.5</v>
      </c>
      <c r="K42" s="458">
        <f t="shared" si="13"/>
        <v>1215</v>
      </c>
      <c r="L42" s="457">
        <f t="shared" si="13"/>
        <v>472.5</v>
      </c>
      <c r="M42" s="457">
        <f t="shared" si="13"/>
        <v>924.8</v>
      </c>
      <c r="N42" s="458">
        <f t="shared" si="13"/>
        <v>1458</v>
      </c>
      <c r="O42" s="458">
        <f t="shared" si="13"/>
        <v>1296</v>
      </c>
      <c r="P42" s="458">
        <f t="shared" si="13"/>
        <v>1269</v>
      </c>
      <c r="Q42" s="457">
        <f t="shared" si="13"/>
        <v>1282.5</v>
      </c>
      <c r="R42" s="457">
        <f t="shared" si="13"/>
        <v>1417.5</v>
      </c>
      <c r="S42" s="458">
        <f t="shared" si="13"/>
        <v>1809</v>
      </c>
      <c r="T42" s="458">
        <f t="shared" si="13"/>
        <v>675</v>
      </c>
      <c r="U42" s="606">
        <f>G42/D42%</f>
        <v>101.94037976800355</v>
      </c>
      <c r="V42" s="606">
        <f>H42/G42%</f>
        <v>101.17422803999969</v>
      </c>
      <c r="W42" s="787"/>
      <c r="X42" s="787"/>
      <c r="Y42" s="787"/>
      <c r="Z42" s="787"/>
      <c r="AA42" s="787"/>
      <c r="AB42" s="787"/>
      <c r="AC42" s="787"/>
      <c r="AD42" s="787"/>
      <c r="AE42" s="787"/>
      <c r="AF42" s="787"/>
      <c r="AG42" s="787"/>
      <c r="AH42" s="787"/>
      <c r="AI42" s="787"/>
      <c r="AJ42" s="787"/>
      <c r="AK42" s="787"/>
      <c r="AL42" s="787"/>
      <c r="AM42" s="787"/>
      <c r="AN42" s="787"/>
      <c r="AO42" s="787"/>
      <c r="AP42" s="787"/>
      <c r="AQ42" s="787"/>
      <c r="AR42" s="787"/>
      <c r="AS42" s="787"/>
      <c r="AT42" s="787"/>
      <c r="AU42" s="787"/>
      <c r="AV42" s="787"/>
      <c r="AW42" s="787"/>
      <c r="AX42" s="787"/>
      <c r="AY42" s="787"/>
      <c r="AZ42" s="787"/>
      <c r="BA42" s="787"/>
      <c r="BB42" s="787"/>
      <c r="BC42" s="787"/>
      <c r="BD42" s="787"/>
    </row>
    <row r="43" spans="1:56" s="33" customFormat="1" ht="15" customHeight="1">
      <c r="A43" s="282" t="s">
        <v>172</v>
      </c>
      <c r="B43" s="126" t="s">
        <v>334</v>
      </c>
      <c r="C43" s="282"/>
      <c r="D43" s="184"/>
      <c r="E43" s="607"/>
      <c r="F43" s="607"/>
      <c r="G43" s="607"/>
      <c r="H43" s="608"/>
      <c r="I43" s="609"/>
      <c r="J43" s="609"/>
      <c r="K43" s="608"/>
      <c r="L43" s="608"/>
      <c r="M43" s="608"/>
      <c r="N43" s="608"/>
      <c r="O43" s="608"/>
      <c r="P43" s="608"/>
      <c r="Q43" s="609"/>
      <c r="R43" s="608"/>
      <c r="S43" s="610"/>
      <c r="T43" s="457"/>
      <c r="U43" s="611"/>
      <c r="V43" s="611"/>
      <c r="W43" s="785"/>
      <c r="X43" s="785"/>
      <c r="Y43" s="785"/>
      <c r="Z43" s="785"/>
      <c r="AA43" s="785"/>
      <c r="AB43" s="785"/>
      <c r="AC43" s="785"/>
      <c r="AD43" s="785"/>
      <c r="AE43" s="785"/>
      <c r="AF43" s="785"/>
      <c r="AG43" s="785"/>
      <c r="AH43" s="785"/>
      <c r="AI43" s="785"/>
      <c r="AJ43" s="785"/>
      <c r="AK43" s="785"/>
      <c r="AL43" s="785"/>
      <c r="AM43" s="785"/>
      <c r="AN43" s="785"/>
      <c r="AO43" s="785"/>
      <c r="AP43" s="785"/>
      <c r="AQ43" s="785"/>
      <c r="AR43" s="785"/>
      <c r="AS43" s="785"/>
      <c r="AT43" s="785"/>
      <c r="AU43" s="785"/>
      <c r="AV43" s="785"/>
      <c r="AW43" s="785"/>
      <c r="AX43" s="785"/>
      <c r="AY43" s="785"/>
      <c r="AZ43" s="785"/>
      <c r="BA43" s="785"/>
      <c r="BB43" s="785"/>
      <c r="BC43" s="785"/>
      <c r="BD43" s="785"/>
    </row>
    <row r="44" spans="1:56" s="33" customFormat="1" ht="18.75" customHeight="1">
      <c r="A44" s="282">
        <v>1</v>
      </c>
      <c r="B44" s="126" t="s">
        <v>194</v>
      </c>
      <c r="C44" s="282"/>
      <c r="D44" s="181"/>
      <c r="E44" s="181"/>
      <c r="F44" s="181"/>
      <c r="G44" s="181"/>
      <c r="H44" s="309"/>
      <c r="I44" s="589"/>
      <c r="J44" s="589"/>
      <c r="K44" s="589"/>
      <c r="L44" s="589"/>
      <c r="M44" s="589"/>
      <c r="N44" s="589"/>
      <c r="O44" s="589"/>
      <c r="P44" s="589"/>
      <c r="Q44" s="589"/>
      <c r="R44" s="589"/>
      <c r="S44" s="589"/>
      <c r="T44" s="589"/>
      <c r="U44" s="128"/>
      <c r="V44" s="128"/>
      <c r="W44" s="785"/>
      <c r="X44" s="785"/>
      <c r="Y44" s="785"/>
      <c r="Z44" s="785"/>
      <c r="AA44" s="785"/>
      <c r="AB44" s="785"/>
      <c r="AC44" s="785"/>
      <c r="AD44" s="785"/>
      <c r="AE44" s="785"/>
      <c r="AF44" s="785"/>
      <c r="AG44" s="785"/>
      <c r="AH44" s="785"/>
      <c r="AI44" s="785"/>
      <c r="AJ44" s="785"/>
      <c r="AK44" s="785"/>
      <c r="AL44" s="785"/>
      <c r="AM44" s="785"/>
      <c r="AN44" s="785"/>
      <c r="AO44" s="785"/>
      <c r="AP44" s="785"/>
      <c r="AQ44" s="785"/>
      <c r="AR44" s="785"/>
      <c r="AS44" s="785"/>
      <c r="AT44" s="785"/>
      <c r="AU44" s="785"/>
      <c r="AV44" s="785"/>
      <c r="AW44" s="785"/>
      <c r="AX44" s="785"/>
      <c r="AY44" s="785"/>
      <c r="AZ44" s="785"/>
      <c r="BA44" s="785"/>
      <c r="BB44" s="785"/>
      <c r="BC44" s="785"/>
      <c r="BD44" s="785"/>
    </row>
    <row r="45" spans="1:22" ht="18.75" customHeight="1">
      <c r="A45" s="586" t="s">
        <v>337</v>
      </c>
      <c r="B45" s="235" t="s">
        <v>188</v>
      </c>
      <c r="C45" s="129" t="s">
        <v>186</v>
      </c>
      <c r="D45" s="447">
        <v>384</v>
      </c>
      <c r="E45" s="598">
        <v>575</v>
      </c>
      <c r="F45" s="182">
        <v>595</v>
      </c>
      <c r="G45" s="182">
        <v>595</v>
      </c>
      <c r="H45" s="310">
        <f>SUM(I45:T45)</f>
        <v>600</v>
      </c>
      <c r="I45" s="465"/>
      <c r="J45" s="466">
        <v>50</v>
      </c>
      <c r="K45" s="466">
        <v>10</v>
      </c>
      <c r="L45" s="466"/>
      <c r="M45" s="466">
        <v>80</v>
      </c>
      <c r="N45" s="466">
        <v>20</v>
      </c>
      <c r="O45" s="466"/>
      <c r="P45" s="466"/>
      <c r="Q45" s="466"/>
      <c r="R45" s="466"/>
      <c r="S45" s="466">
        <v>85</v>
      </c>
      <c r="T45" s="466">
        <v>355</v>
      </c>
      <c r="U45" s="236">
        <f>G45/D45%</f>
        <v>154.94791666666669</v>
      </c>
      <c r="V45" s="236">
        <f>H45/G45%</f>
        <v>100.84033613445378</v>
      </c>
    </row>
    <row r="46" spans="1:22" ht="18.75" customHeight="1">
      <c r="A46" s="586" t="s">
        <v>337</v>
      </c>
      <c r="B46" s="235" t="s">
        <v>189</v>
      </c>
      <c r="C46" s="129" t="s">
        <v>486</v>
      </c>
      <c r="D46" s="447">
        <v>110</v>
      </c>
      <c r="E46" s="601">
        <v>110.16</v>
      </c>
      <c r="F46" s="182"/>
      <c r="G46" s="601">
        <v>110.16</v>
      </c>
      <c r="H46" s="585">
        <f>H47/H45*10</f>
        <v>110.725</v>
      </c>
      <c r="I46" s="161"/>
      <c r="J46" s="467">
        <v>110</v>
      </c>
      <c r="K46" s="467">
        <v>110</v>
      </c>
      <c r="L46" s="467"/>
      <c r="M46" s="467">
        <v>111</v>
      </c>
      <c r="N46" s="467">
        <v>110</v>
      </c>
      <c r="O46" s="467"/>
      <c r="P46" s="467"/>
      <c r="Q46" s="467"/>
      <c r="R46" s="467"/>
      <c r="S46" s="467">
        <v>110</v>
      </c>
      <c r="T46" s="467">
        <v>111</v>
      </c>
      <c r="U46" s="236">
        <f>G46/D46%</f>
        <v>100.14545454545454</v>
      </c>
      <c r="V46" s="236">
        <f>H46/G46%</f>
        <v>100.51289034132172</v>
      </c>
    </row>
    <row r="47" spans="1:22" ht="18.75" customHeight="1">
      <c r="A47" s="586" t="s">
        <v>337</v>
      </c>
      <c r="B47" s="235" t="s">
        <v>190</v>
      </c>
      <c r="C47" s="129" t="s">
        <v>185</v>
      </c>
      <c r="D47" s="447">
        <f>D45*D46/10</f>
        <v>4224</v>
      </c>
      <c r="E47" s="599">
        <f>E45*E46/10</f>
        <v>6334.2</v>
      </c>
      <c r="F47" s="182"/>
      <c r="G47" s="599">
        <f>G45*G46/10</f>
        <v>6554.5199999999995</v>
      </c>
      <c r="H47" s="309">
        <f>SUM(I47:T47)</f>
        <v>6643.5</v>
      </c>
      <c r="I47" s="182"/>
      <c r="J47" s="467">
        <f>+J46*J45/10</f>
        <v>550</v>
      </c>
      <c r="K47" s="467">
        <f>+K46*K45/10</f>
        <v>110</v>
      </c>
      <c r="L47" s="467"/>
      <c r="M47" s="467">
        <f>+M46*M45/10</f>
        <v>888</v>
      </c>
      <c r="N47" s="467">
        <f>+N46*N45/10</f>
        <v>220</v>
      </c>
      <c r="O47" s="467"/>
      <c r="P47" s="467"/>
      <c r="Q47" s="467"/>
      <c r="R47" s="467"/>
      <c r="S47" s="467">
        <f>+S46*S45/10</f>
        <v>935</v>
      </c>
      <c r="T47" s="79">
        <f>+T46*T45/10</f>
        <v>3940.5</v>
      </c>
      <c r="U47" s="236">
        <f>G47/D47%</f>
        <v>155.17329545454544</v>
      </c>
      <c r="V47" s="236">
        <f>H47/G47%</f>
        <v>101.35753647864375</v>
      </c>
    </row>
    <row r="48" spans="1:56" s="33" customFormat="1" ht="18.75" customHeight="1">
      <c r="A48" s="282">
        <v>2</v>
      </c>
      <c r="B48" s="126" t="s">
        <v>195</v>
      </c>
      <c r="C48" s="282"/>
      <c r="D48" s="181"/>
      <c r="E48" s="181"/>
      <c r="F48" s="181"/>
      <c r="G48" s="181"/>
      <c r="H48" s="309"/>
      <c r="I48" s="589"/>
      <c r="J48" s="589"/>
      <c r="K48" s="589"/>
      <c r="L48" s="589"/>
      <c r="M48" s="589"/>
      <c r="N48" s="589"/>
      <c r="O48" s="589"/>
      <c r="P48" s="589"/>
      <c r="Q48" s="589"/>
      <c r="R48" s="589"/>
      <c r="S48" s="589"/>
      <c r="T48" s="589"/>
      <c r="U48" s="128"/>
      <c r="V48" s="128"/>
      <c r="W48" s="785"/>
      <c r="X48" s="785"/>
      <c r="Y48" s="785"/>
      <c r="Z48" s="785"/>
      <c r="AA48" s="785"/>
      <c r="AB48" s="785"/>
      <c r="AC48" s="785"/>
      <c r="AD48" s="785"/>
      <c r="AE48" s="785"/>
      <c r="AF48" s="785"/>
      <c r="AG48" s="785"/>
      <c r="AH48" s="785"/>
      <c r="AI48" s="785"/>
      <c r="AJ48" s="785"/>
      <c r="AK48" s="785"/>
      <c r="AL48" s="785"/>
      <c r="AM48" s="785"/>
      <c r="AN48" s="785"/>
      <c r="AO48" s="785"/>
      <c r="AP48" s="785"/>
      <c r="AQ48" s="785"/>
      <c r="AR48" s="785"/>
      <c r="AS48" s="785"/>
      <c r="AT48" s="785"/>
      <c r="AU48" s="785"/>
      <c r="AV48" s="785"/>
      <c r="AW48" s="785"/>
      <c r="AX48" s="785"/>
      <c r="AY48" s="785"/>
      <c r="AZ48" s="785"/>
      <c r="BA48" s="785"/>
      <c r="BB48" s="785"/>
      <c r="BC48" s="785"/>
      <c r="BD48" s="785"/>
    </row>
    <row r="49" spans="1:22" ht="18.75" customHeight="1">
      <c r="A49" s="586" t="s">
        <v>337</v>
      </c>
      <c r="B49" s="235" t="s">
        <v>188</v>
      </c>
      <c r="C49" s="129" t="s">
        <v>186</v>
      </c>
      <c r="D49" s="447">
        <v>78</v>
      </c>
      <c r="E49" s="598">
        <v>85</v>
      </c>
      <c r="F49" s="182">
        <v>80</v>
      </c>
      <c r="G49" s="182">
        <v>80</v>
      </c>
      <c r="H49" s="310">
        <f>SUM(I49:T49)</f>
        <v>85</v>
      </c>
      <c r="I49" s="460">
        <v>2</v>
      </c>
      <c r="J49" s="460">
        <v>5</v>
      </c>
      <c r="K49" s="460">
        <v>5</v>
      </c>
      <c r="L49" s="468">
        <v>8</v>
      </c>
      <c r="M49" s="460">
        <v>12</v>
      </c>
      <c r="N49" s="460">
        <v>15</v>
      </c>
      <c r="O49" s="460">
        <v>12</v>
      </c>
      <c r="P49" s="460">
        <v>4</v>
      </c>
      <c r="Q49" s="460">
        <v>5</v>
      </c>
      <c r="R49" s="460">
        <v>7</v>
      </c>
      <c r="S49" s="460">
        <v>5</v>
      </c>
      <c r="T49" s="460">
        <v>5</v>
      </c>
      <c r="U49" s="612">
        <f>G49/D49%</f>
        <v>102.56410256410255</v>
      </c>
      <c r="V49" s="612">
        <f>H49/G49%</f>
        <v>106.25</v>
      </c>
    </row>
    <row r="50" spans="1:22" ht="18.75" customHeight="1">
      <c r="A50" s="586" t="s">
        <v>337</v>
      </c>
      <c r="B50" s="235" t="s">
        <v>189</v>
      </c>
      <c r="C50" s="129" t="s">
        <v>486</v>
      </c>
      <c r="D50" s="600">
        <v>84.6</v>
      </c>
      <c r="E50" s="599">
        <v>84.7</v>
      </c>
      <c r="F50" s="182"/>
      <c r="G50" s="161">
        <f>+E50</f>
        <v>84.7</v>
      </c>
      <c r="H50" s="310">
        <f>H51/H49*10</f>
        <v>85</v>
      </c>
      <c r="I50" s="182">
        <v>85</v>
      </c>
      <c r="J50" s="182">
        <v>85</v>
      </c>
      <c r="K50" s="182">
        <v>85</v>
      </c>
      <c r="L50" s="182">
        <v>85</v>
      </c>
      <c r="M50" s="182">
        <v>85</v>
      </c>
      <c r="N50" s="182">
        <v>85</v>
      </c>
      <c r="O50" s="182">
        <v>85</v>
      </c>
      <c r="P50" s="182">
        <v>85</v>
      </c>
      <c r="Q50" s="182">
        <v>85</v>
      </c>
      <c r="R50" s="182">
        <v>85</v>
      </c>
      <c r="S50" s="182">
        <v>85</v>
      </c>
      <c r="T50" s="182">
        <v>85</v>
      </c>
      <c r="U50" s="236">
        <f>G50/D50%</f>
        <v>100.11820330969267</v>
      </c>
      <c r="V50" s="236">
        <f>H50/G50%</f>
        <v>100.35419126328217</v>
      </c>
    </row>
    <row r="51" spans="1:22" ht="18.75" customHeight="1">
      <c r="A51" s="586" t="s">
        <v>337</v>
      </c>
      <c r="B51" s="235" t="s">
        <v>190</v>
      </c>
      <c r="C51" s="129" t="s">
        <v>185</v>
      </c>
      <c r="D51" s="600">
        <f>D49*D50/10</f>
        <v>659.8799999999999</v>
      </c>
      <c r="E51" s="598">
        <f>E49*E50/10</f>
        <v>719.95</v>
      </c>
      <c r="F51" s="161"/>
      <c r="G51" s="161">
        <f>G49*G50/10</f>
        <v>677.6</v>
      </c>
      <c r="H51" s="309">
        <f>SUM(I51:T51)</f>
        <v>722.5</v>
      </c>
      <c r="I51" s="182">
        <f>+I50*I49/10</f>
        <v>17</v>
      </c>
      <c r="J51" s="161">
        <f aca="true" t="shared" si="14" ref="J51:T51">+J50*J49/10</f>
        <v>42.5</v>
      </c>
      <c r="K51" s="161">
        <f t="shared" si="14"/>
        <v>42.5</v>
      </c>
      <c r="L51" s="182">
        <f t="shared" si="14"/>
        <v>68</v>
      </c>
      <c r="M51" s="182">
        <f t="shared" si="14"/>
        <v>102</v>
      </c>
      <c r="N51" s="161">
        <f t="shared" si="14"/>
        <v>127.5</v>
      </c>
      <c r="O51" s="182">
        <f t="shared" si="14"/>
        <v>102</v>
      </c>
      <c r="P51" s="182">
        <f t="shared" si="14"/>
        <v>34</v>
      </c>
      <c r="Q51" s="161">
        <f t="shared" si="14"/>
        <v>42.5</v>
      </c>
      <c r="R51" s="161">
        <f t="shared" si="14"/>
        <v>59.5</v>
      </c>
      <c r="S51" s="161">
        <f t="shared" si="14"/>
        <v>42.5</v>
      </c>
      <c r="T51" s="161">
        <f t="shared" si="14"/>
        <v>42.5</v>
      </c>
      <c r="U51" s="236">
        <f>G51/D51%</f>
        <v>102.68533672788995</v>
      </c>
      <c r="V51" s="236">
        <f>H51/G51%</f>
        <v>106.62632821723732</v>
      </c>
    </row>
    <row r="52" spans="1:56" s="33" customFormat="1" ht="18.75" customHeight="1">
      <c r="A52" s="282" t="s">
        <v>173</v>
      </c>
      <c r="B52" s="126" t="s">
        <v>192</v>
      </c>
      <c r="C52" s="282"/>
      <c r="D52" s="181"/>
      <c r="E52" s="181"/>
      <c r="F52" s="181"/>
      <c r="G52" s="181"/>
      <c r="H52" s="309"/>
      <c r="I52" s="589"/>
      <c r="J52" s="589"/>
      <c r="K52" s="589"/>
      <c r="L52" s="589"/>
      <c r="M52" s="589"/>
      <c r="N52" s="589"/>
      <c r="O52" s="589"/>
      <c r="P52" s="589"/>
      <c r="Q52" s="589"/>
      <c r="R52" s="589"/>
      <c r="S52" s="589"/>
      <c r="T52" s="589"/>
      <c r="U52" s="237"/>
      <c r="V52" s="237"/>
      <c r="W52" s="785"/>
      <c r="X52" s="785"/>
      <c r="Y52" s="785"/>
      <c r="Z52" s="785"/>
      <c r="AA52" s="785"/>
      <c r="AB52" s="785"/>
      <c r="AC52" s="785"/>
      <c r="AD52" s="785"/>
      <c r="AE52" s="785"/>
      <c r="AF52" s="785"/>
      <c r="AG52" s="785"/>
      <c r="AH52" s="785"/>
      <c r="AI52" s="785"/>
      <c r="AJ52" s="785"/>
      <c r="AK52" s="785"/>
      <c r="AL52" s="785"/>
      <c r="AM52" s="785"/>
      <c r="AN52" s="785"/>
      <c r="AO52" s="785"/>
      <c r="AP52" s="785"/>
      <c r="AQ52" s="785"/>
      <c r="AR52" s="785"/>
      <c r="AS52" s="785"/>
      <c r="AT52" s="785"/>
      <c r="AU52" s="785"/>
      <c r="AV52" s="785"/>
      <c r="AW52" s="785"/>
      <c r="AX52" s="785"/>
      <c r="AY52" s="785"/>
      <c r="AZ52" s="785"/>
      <c r="BA52" s="785"/>
      <c r="BB52" s="785"/>
      <c r="BC52" s="785"/>
      <c r="BD52" s="785"/>
    </row>
    <row r="53" spans="1:56" s="33" customFormat="1" ht="18.75" customHeight="1">
      <c r="A53" s="282">
        <v>1</v>
      </c>
      <c r="B53" s="126" t="s">
        <v>193</v>
      </c>
      <c r="C53" s="282"/>
      <c r="D53" s="181"/>
      <c r="E53" s="181"/>
      <c r="F53" s="181"/>
      <c r="G53" s="181"/>
      <c r="H53" s="589"/>
      <c r="I53" s="589"/>
      <c r="J53" s="589"/>
      <c r="K53" s="589"/>
      <c r="L53" s="589"/>
      <c r="M53" s="589"/>
      <c r="N53" s="589"/>
      <c r="O53" s="589"/>
      <c r="P53" s="589"/>
      <c r="Q53" s="589"/>
      <c r="R53" s="589"/>
      <c r="S53" s="589"/>
      <c r="T53" s="589"/>
      <c r="U53" s="237"/>
      <c r="V53" s="237"/>
      <c r="W53" s="785"/>
      <c r="X53" s="785"/>
      <c r="Y53" s="785"/>
      <c r="Z53" s="785"/>
      <c r="AA53" s="785"/>
      <c r="AB53" s="785"/>
      <c r="AC53" s="785"/>
      <c r="AD53" s="785"/>
      <c r="AE53" s="785"/>
      <c r="AF53" s="785"/>
      <c r="AG53" s="785"/>
      <c r="AH53" s="785"/>
      <c r="AI53" s="785"/>
      <c r="AJ53" s="785"/>
      <c r="AK53" s="785"/>
      <c r="AL53" s="785"/>
      <c r="AM53" s="785"/>
      <c r="AN53" s="785"/>
      <c r="AO53" s="785"/>
      <c r="AP53" s="785"/>
      <c r="AQ53" s="785"/>
      <c r="AR53" s="785"/>
      <c r="AS53" s="785"/>
      <c r="AT53" s="785"/>
      <c r="AU53" s="785"/>
      <c r="AV53" s="785"/>
      <c r="AW53" s="785"/>
      <c r="AX53" s="785"/>
      <c r="AY53" s="785"/>
      <c r="AZ53" s="785"/>
      <c r="BA53" s="785"/>
      <c r="BB53" s="785"/>
      <c r="BC53" s="785"/>
      <c r="BD53" s="785"/>
    </row>
    <row r="54" spans="1:56" s="33" customFormat="1" ht="18.75" customHeight="1">
      <c r="A54" s="282" t="s">
        <v>169</v>
      </c>
      <c r="B54" s="126" t="s">
        <v>618</v>
      </c>
      <c r="C54" s="282"/>
      <c r="D54" s="181"/>
      <c r="E54" s="181"/>
      <c r="F54" s="181"/>
      <c r="G54" s="181"/>
      <c r="H54" s="309"/>
      <c r="I54" s="589"/>
      <c r="J54" s="589"/>
      <c r="K54" s="589"/>
      <c r="L54" s="589"/>
      <c r="M54" s="589"/>
      <c r="N54" s="589"/>
      <c r="O54" s="589"/>
      <c r="P54" s="589"/>
      <c r="Q54" s="589"/>
      <c r="R54" s="589"/>
      <c r="S54" s="589"/>
      <c r="T54" s="589"/>
      <c r="U54" s="237"/>
      <c r="V54" s="237"/>
      <c r="W54" s="785"/>
      <c r="X54" s="785"/>
      <c r="Y54" s="785"/>
      <c r="Z54" s="785"/>
      <c r="AA54" s="785"/>
      <c r="AB54" s="785"/>
      <c r="AC54" s="785"/>
      <c r="AD54" s="785"/>
      <c r="AE54" s="785"/>
      <c r="AF54" s="785"/>
      <c r="AG54" s="785"/>
      <c r="AH54" s="785"/>
      <c r="AI54" s="785"/>
      <c r="AJ54" s="785"/>
      <c r="AK54" s="785"/>
      <c r="AL54" s="785"/>
      <c r="AM54" s="785"/>
      <c r="AN54" s="785"/>
      <c r="AO54" s="785"/>
      <c r="AP54" s="785"/>
      <c r="AQ54" s="785"/>
      <c r="AR54" s="785"/>
      <c r="AS54" s="785"/>
      <c r="AT54" s="785"/>
      <c r="AU54" s="785"/>
      <c r="AV54" s="785"/>
      <c r="AW54" s="785"/>
      <c r="AX54" s="785"/>
      <c r="AY54" s="785"/>
      <c r="AZ54" s="785"/>
      <c r="BA54" s="785"/>
      <c r="BB54" s="785"/>
      <c r="BC54" s="785"/>
      <c r="BD54" s="785"/>
    </row>
    <row r="55" spans="1:22" ht="18.75" customHeight="1">
      <c r="A55" s="586" t="s">
        <v>337</v>
      </c>
      <c r="B55" s="235" t="s">
        <v>188</v>
      </c>
      <c r="C55" s="129" t="s">
        <v>186</v>
      </c>
      <c r="D55" s="613">
        <v>137.42</v>
      </c>
      <c r="E55" s="598">
        <v>143</v>
      </c>
      <c r="F55" s="130">
        <v>115</v>
      </c>
      <c r="G55" s="130">
        <f>+F55+87</f>
        <v>202</v>
      </c>
      <c r="H55" s="310">
        <f>SUM(I55:T55)</f>
        <v>216</v>
      </c>
      <c r="I55" s="238">
        <v>2</v>
      </c>
      <c r="J55" s="238">
        <v>12</v>
      </c>
      <c r="K55" s="238">
        <v>12</v>
      </c>
      <c r="L55" s="238">
        <v>20</v>
      </c>
      <c r="M55" s="238">
        <v>20</v>
      </c>
      <c r="N55" s="238">
        <v>20</v>
      </c>
      <c r="O55" s="238">
        <v>20</v>
      </c>
      <c r="P55" s="238">
        <v>20</v>
      </c>
      <c r="Q55" s="238">
        <v>25</v>
      </c>
      <c r="R55" s="238">
        <v>25</v>
      </c>
      <c r="S55" s="238">
        <v>20</v>
      </c>
      <c r="T55" s="238">
        <v>20</v>
      </c>
      <c r="U55" s="236">
        <f>G55/D55%</f>
        <v>146.99461504875566</v>
      </c>
      <c r="V55" s="236">
        <f>H55/G55%</f>
        <v>106.93069306930693</v>
      </c>
    </row>
    <row r="56" spans="1:22" ht="18.75" customHeight="1">
      <c r="A56" s="586" t="s">
        <v>337</v>
      </c>
      <c r="B56" s="235" t="s">
        <v>189</v>
      </c>
      <c r="C56" s="129" t="s">
        <v>486</v>
      </c>
      <c r="D56" s="614">
        <v>16.6</v>
      </c>
      <c r="E56" s="599">
        <v>16.6</v>
      </c>
      <c r="F56" s="79">
        <v>15.5</v>
      </c>
      <c r="G56" s="79">
        <f>+F56</f>
        <v>15.5</v>
      </c>
      <c r="H56" s="309">
        <f>H57/H55*10</f>
        <v>15.8</v>
      </c>
      <c r="I56" s="79">
        <v>15.8</v>
      </c>
      <c r="J56" s="79">
        <v>15.8</v>
      </c>
      <c r="K56" s="79">
        <v>15.8</v>
      </c>
      <c r="L56" s="79">
        <v>15.8</v>
      </c>
      <c r="M56" s="79">
        <v>15.8</v>
      </c>
      <c r="N56" s="79">
        <v>15.8</v>
      </c>
      <c r="O56" s="79">
        <v>15.8</v>
      </c>
      <c r="P56" s="79">
        <v>15.8</v>
      </c>
      <c r="Q56" s="79">
        <v>15.8</v>
      </c>
      <c r="R56" s="79">
        <v>15.8</v>
      </c>
      <c r="S56" s="79">
        <v>15.8</v>
      </c>
      <c r="T56" s="79">
        <v>15.8</v>
      </c>
      <c r="U56" s="236">
        <f>G56/D56%</f>
        <v>93.37349397590361</v>
      </c>
      <c r="V56" s="238">
        <f>H56/G56%</f>
        <v>101.93548387096774</v>
      </c>
    </row>
    <row r="57" spans="1:22" ht="18.75" customHeight="1">
      <c r="A57" s="586" t="s">
        <v>337</v>
      </c>
      <c r="B57" s="235" t="s">
        <v>190</v>
      </c>
      <c r="C57" s="129" t="s">
        <v>185</v>
      </c>
      <c r="D57" s="613">
        <f>D55*D56/10</f>
        <v>228.1172</v>
      </c>
      <c r="E57" s="598">
        <f>E55*E56/10</f>
        <v>237.38000000000002</v>
      </c>
      <c r="F57" s="237">
        <f>F55*F56/10</f>
        <v>178.25</v>
      </c>
      <c r="G57" s="79">
        <f>+F57</f>
        <v>178.25</v>
      </c>
      <c r="H57" s="309">
        <f>SUM(I57:T57)</f>
        <v>341.28000000000003</v>
      </c>
      <c r="I57" s="469">
        <f>+I56*I55/10</f>
        <v>3.16</v>
      </c>
      <c r="J57" s="469">
        <f aca="true" t="shared" si="15" ref="J57:T57">+J56*J55/10</f>
        <v>18.96</v>
      </c>
      <c r="K57" s="469">
        <f t="shared" si="15"/>
        <v>18.96</v>
      </c>
      <c r="L57" s="469">
        <f t="shared" si="15"/>
        <v>31.6</v>
      </c>
      <c r="M57" s="469">
        <f t="shared" si="15"/>
        <v>31.6</v>
      </c>
      <c r="N57" s="469">
        <f t="shared" si="15"/>
        <v>31.6</v>
      </c>
      <c r="O57" s="469">
        <f t="shared" si="15"/>
        <v>31.6</v>
      </c>
      <c r="P57" s="469">
        <f t="shared" si="15"/>
        <v>31.6</v>
      </c>
      <c r="Q57" s="469">
        <f t="shared" si="15"/>
        <v>39.5</v>
      </c>
      <c r="R57" s="469">
        <f t="shared" si="15"/>
        <v>39.5</v>
      </c>
      <c r="S57" s="469">
        <f t="shared" si="15"/>
        <v>31.6</v>
      </c>
      <c r="T57" s="469">
        <f t="shared" si="15"/>
        <v>31.6</v>
      </c>
      <c r="U57" s="236">
        <f>G57/D57%</f>
        <v>78.13965803543091</v>
      </c>
      <c r="V57" s="236">
        <f>H57/G57%</f>
        <v>191.46143057503508</v>
      </c>
    </row>
    <row r="58" spans="1:56" s="33" customFormat="1" ht="18.75" customHeight="1">
      <c r="A58" s="282" t="s">
        <v>170</v>
      </c>
      <c r="B58" s="126" t="s">
        <v>197</v>
      </c>
      <c r="C58" s="129"/>
      <c r="D58" s="79"/>
      <c r="E58" s="79"/>
      <c r="F58" s="79"/>
      <c r="G58" s="79"/>
      <c r="H58" s="585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237"/>
      <c r="V58" s="128"/>
      <c r="W58" s="785"/>
      <c r="X58" s="785"/>
      <c r="Y58" s="785"/>
      <c r="Z58" s="785"/>
      <c r="AA58" s="785"/>
      <c r="AB58" s="785"/>
      <c r="AC58" s="785"/>
      <c r="AD58" s="785"/>
      <c r="AE58" s="785"/>
      <c r="AF58" s="785"/>
      <c r="AG58" s="785"/>
      <c r="AH58" s="785"/>
      <c r="AI58" s="785"/>
      <c r="AJ58" s="785"/>
      <c r="AK58" s="785"/>
      <c r="AL58" s="785"/>
      <c r="AM58" s="785"/>
      <c r="AN58" s="785"/>
      <c r="AO58" s="785"/>
      <c r="AP58" s="785"/>
      <c r="AQ58" s="785"/>
      <c r="AR58" s="785"/>
      <c r="AS58" s="785"/>
      <c r="AT58" s="785"/>
      <c r="AU58" s="785"/>
      <c r="AV58" s="785"/>
      <c r="AW58" s="785"/>
      <c r="AX58" s="785"/>
      <c r="AY58" s="785"/>
      <c r="AZ58" s="785"/>
      <c r="BA58" s="785"/>
      <c r="BB58" s="785"/>
      <c r="BC58" s="785"/>
      <c r="BD58" s="785"/>
    </row>
    <row r="59" spans="1:22" ht="18.75" customHeight="1">
      <c r="A59" s="586" t="s">
        <v>337</v>
      </c>
      <c r="B59" s="235" t="s">
        <v>188</v>
      </c>
      <c r="C59" s="129" t="s">
        <v>186</v>
      </c>
      <c r="D59" s="447">
        <v>40</v>
      </c>
      <c r="E59" s="598">
        <v>40</v>
      </c>
      <c r="F59" s="182">
        <v>11</v>
      </c>
      <c r="G59" s="182">
        <v>40</v>
      </c>
      <c r="H59" s="182">
        <f>SUM(I59:T59)</f>
        <v>40</v>
      </c>
      <c r="I59" s="182">
        <v>3</v>
      </c>
      <c r="J59" s="182"/>
      <c r="K59" s="182">
        <v>2</v>
      </c>
      <c r="L59" s="182">
        <v>5</v>
      </c>
      <c r="M59" s="182">
        <v>3</v>
      </c>
      <c r="N59" s="182">
        <v>4</v>
      </c>
      <c r="O59" s="182">
        <v>5</v>
      </c>
      <c r="P59" s="182">
        <v>2</v>
      </c>
      <c r="Q59" s="182">
        <v>4</v>
      </c>
      <c r="R59" s="182">
        <v>5</v>
      </c>
      <c r="S59" s="182">
        <v>5</v>
      </c>
      <c r="T59" s="182">
        <v>2</v>
      </c>
      <c r="U59" s="238">
        <f>G59/D59%</f>
        <v>100</v>
      </c>
      <c r="V59" s="238">
        <f>H59/G59%</f>
        <v>100</v>
      </c>
    </row>
    <row r="60" spans="1:22" ht="18.75" customHeight="1">
      <c r="A60" s="586" t="s">
        <v>337</v>
      </c>
      <c r="B60" s="235" t="s">
        <v>189</v>
      </c>
      <c r="C60" s="129" t="s">
        <v>486</v>
      </c>
      <c r="D60" s="600">
        <v>11.8</v>
      </c>
      <c r="E60" s="601">
        <v>11.82</v>
      </c>
      <c r="F60" s="470">
        <v>11.82</v>
      </c>
      <c r="G60" s="161">
        <v>11.8</v>
      </c>
      <c r="H60" s="182">
        <f>H61/H59*10</f>
        <v>11.999999999999996</v>
      </c>
      <c r="I60" s="182">
        <v>12</v>
      </c>
      <c r="J60" s="182"/>
      <c r="K60" s="182">
        <v>12</v>
      </c>
      <c r="L60" s="182">
        <v>12</v>
      </c>
      <c r="M60" s="182">
        <v>12</v>
      </c>
      <c r="N60" s="182">
        <v>12</v>
      </c>
      <c r="O60" s="182">
        <v>12</v>
      </c>
      <c r="P60" s="182">
        <v>12</v>
      </c>
      <c r="Q60" s="182">
        <v>12</v>
      </c>
      <c r="R60" s="182">
        <v>12</v>
      </c>
      <c r="S60" s="182">
        <v>12</v>
      </c>
      <c r="T60" s="182">
        <v>12</v>
      </c>
      <c r="U60" s="238">
        <f>G60/D60%</f>
        <v>100</v>
      </c>
      <c r="V60" s="236">
        <f>H60/G60%</f>
        <v>101.69491525423724</v>
      </c>
    </row>
    <row r="61" spans="1:22" ht="18.75" customHeight="1">
      <c r="A61" s="586" t="s">
        <v>337</v>
      </c>
      <c r="B61" s="235" t="s">
        <v>190</v>
      </c>
      <c r="C61" s="129" t="s">
        <v>185</v>
      </c>
      <c r="D61" s="600">
        <f>D59*D60/10</f>
        <v>47.2</v>
      </c>
      <c r="E61" s="599">
        <f>E59*E60/10</f>
        <v>47.28</v>
      </c>
      <c r="F61" s="182">
        <f>F59*F60/10</f>
        <v>13.002</v>
      </c>
      <c r="G61" s="161">
        <f>G59*G60/10</f>
        <v>47.2</v>
      </c>
      <c r="H61" s="182">
        <f>SUM(I61:T61)</f>
        <v>47.99999999999999</v>
      </c>
      <c r="I61" s="161">
        <f>+I60*I59/10</f>
        <v>3.6</v>
      </c>
      <c r="J61" s="161"/>
      <c r="K61" s="161">
        <f aca="true" t="shared" si="16" ref="K61:T61">+K60*K59/10</f>
        <v>2.4</v>
      </c>
      <c r="L61" s="182">
        <f t="shared" si="16"/>
        <v>6</v>
      </c>
      <c r="M61" s="161">
        <f t="shared" si="16"/>
        <v>3.6</v>
      </c>
      <c r="N61" s="161">
        <f t="shared" si="16"/>
        <v>4.8</v>
      </c>
      <c r="O61" s="182">
        <f t="shared" si="16"/>
        <v>6</v>
      </c>
      <c r="P61" s="161">
        <f t="shared" si="16"/>
        <v>2.4</v>
      </c>
      <c r="Q61" s="161">
        <f t="shared" si="16"/>
        <v>4.8</v>
      </c>
      <c r="R61" s="182">
        <f t="shared" si="16"/>
        <v>6</v>
      </c>
      <c r="S61" s="182">
        <f t="shared" si="16"/>
        <v>6</v>
      </c>
      <c r="T61" s="161">
        <f t="shared" si="16"/>
        <v>2.4</v>
      </c>
      <c r="U61" s="238">
        <f>G61/D61%</f>
        <v>100</v>
      </c>
      <c r="V61" s="236">
        <f>H61/G61%</f>
        <v>101.69491525423727</v>
      </c>
    </row>
    <row r="62" spans="1:56" s="33" customFormat="1" ht="18.75" customHeight="1" hidden="1">
      <c r="A62" s="282" t="s">
        <v>171</v>
      </c>
      <c r="B62" s="126" t="s">
        <v>196</v>
      </c>
      <c r="C62" s="129"/>
      <c r="D62" s="79"/>
      <c r="E62" s="79"/>
      <c r="F62" s="79"/>
      <c r="G62" s="7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237"/>
      <c r="V62" s="128"/>
      <c r="W62" s="785"/>
      <c r="X62" s="785"/>
      <c r="Y62" s="785"/>
      <c r="Z62" s="785"/>
      <c r="AA62" s="785"/>
      <c r="AB62" s="785"/>
      <c r="AC62" s="785"/>
      <c r="AD62" s="785"/>
      <c r="AE62" s="785"/>
      <c r="AF62" s="785"/>
      <c r="AG62" s="785"/>
      <c r="AH62" s="785"/>
      <c r="AI62" s="785"/>
      <c r="AJ62" s="785"/>
      <c r="AK62" s="785"/>
      <c r="AL62" s="785"/>
      <c r="AM62" s="785"/>
      <c r="AN62" s="785"/>
      <c r="AO62" s="785"/>
      <c r="AP62" s="785"/>
      <c r="AQ62" s="785"/>
      <c r="AR62" s="785"/>
      <c r="AS62" s="785"/>
      <c r="AT62" s="785"/>
      <c r="AU62" s="785"/>
      <c r="AV62" s="785"/>
      <c r="AW62" s="785"/>
      <c r="AX62" s="785"/>
      <c r="AY62" s="785"/>
      <c r="AZ62" s="785"/>
      <c r="BA62" s="785"/>
      <c r="BB62" s="785"/>
      <c r="BC62" s="785"/>
      <c r="BD62" s="785"/>
    </row>
    <row r="63" spans="1:22" ht="18.75" customHeight="1" hidden="1">
      <c r="A63" s="282"/>
      <c r="B63" s="235" t="s">
        <v>188</v>
      </c>
      <c r="C63" s="129" t="s">
        <v>186</v>
      </c>
      <c r="D63" s="130">
        <v>26</v>
      </c>
      <c r="E63" s="130">
        <v>26</v>
      </c>
      <c r="F63" s="130"/>
      <c r="G63" s="130">
        <v>22</v>
      </c>
      <c r="H63" s="310">
        <f>SUM(I63:T63)</f>
        <v>0</v>
      </c>
      <c r="I63" s="310"/>
      <c r="J63" s="310"/>
      <c r="K63" s="310"/>
      <c r="L63" s="310"/>
      <c r="M63" s="310">
        <v>0</v>
      </c>
      <c r="N63" s="310"/>
      <c r="O63" s="310"/>
      <c r="P63" s="310"/>
      <c r="Q63" s="310"/>
      <c r="R63" s="310"/>
      <c r="S63" s="310"/>
      <c r="T63" s="310">
        <v>0</v>
      </c>
      <c r="U63" s="237">
        <f>G63/D63%</f>
        <v>84.61538461538461</v>
      </c>
      <c r="V63" s="237">
        <f>H63/G63%</f>
        <v>0</v>
      </c>
    </row>
    <row r="64" spans="1:22" ht="18.75" customHeight="1" hidden="1">
      <c r="A64" s="282"/>
      <c r="B64" s="235" t="s">
        <v>189</v>
      </c>
      <c r="C64" s="129" t="s">
        <v>187</v>
      </c>
      <c r="D64" s="79">
        <v>3.8</v>
      </c>
      <c r="E64" s="79">
        <v>4</v>
      </c>
      <c r="F64" s="79"/>
      <c r="G64" s="79">
        <v>4</v>
      </c>
      <c r="H64" s="309">
        <f>SUM(I64:T64)/2</f>
        <v>0</v>
      </c>
      <c r="I64" s="309"/>
      <c r="J64" s="309"/>
      <c r="K64" s="309"/>
      <c r="L64" s="309"/>
      <c r="M64" s="309">
        <v>0</v>
      </c>
      <c r="N64" s="309"/>
      <c r="O64" s="309"/>
      <c r="P64" s="309"/>
      <c r="Q64" s="309"/>
      <c r="R64" s="309"/>
      <c r="S64" s="309"/>
      <c r="T64" s="309">
        <v>0</v>
      </c>
      <c r="U64" s="237">
        <f>G64/D64%</f>
        <v>105.26315789473685</v>
      </c>
      <c r="V64" s="237">
        <f>H64/G64%</f>
        <v>0</v>
      </c>
    </row>
    <row r="65" spans="1:22" ht="18.75" customHeight="1" hidden="1">
      <c r="A65" s="282"/>
      <c r="B65" s="235" t="s">
        <v>190</v>
      </c>
      <c r="C65" s="129" t="s">
        <v>185</v>
      </c>
      <c r="D65" s="183">
        <f>D63*D64/10</f>
        <v>9.879999999999999</v>
      </c>
      <c r="E65" s="79">
        <f>E63*E64/10</f>
        <v>10.4</v>
      </c>
      <c r="F65" s="79"/>
      <c r="G65" s="79">
        <f>G63*G64/10</f>
        <v>8.8</v>
      </c>
      <c r="H65" s="309">
        <f>SUM(I65:T65)</f>
        <v>0</v>
      </c>
      <c r="I65" s="309"/>
      <c r="J65" s="309"/>
      <c r="K65" s="309"/>
      <c r="L65" s="309"/>
      <c r="M65" s="309">
        <f>M63*M64/10</f>
        <v>0</v>
      </c>
      <c r="N65" s="309"/>
      <c r="O65" s="309"/>
      <c r="P65" s="309"/>
      <c r="Q65" s="309"/>
      <c r="R65" s="309"/>
      <c r="S65" s="309"/>
      <c r="T65" s="309">
        <f>T63*T64/10</f>
        <v>0</v>
      </c>
      <c r="U65" s="237">
        <f>G65/D65%</f>
        <v>89.0688259109312</v>
      </c>
      <c r="V65" s="237">
        <f>H65/G65%</f>
        <v>0</v>
      </c>
    </row>
    <row r="66" spans="1:22" ht="18.75" customHeight="1">
      <c r="A66" s="282">
        <v>2</v>
      </c>
      <c r="B66" s="126" t="s">
        <v>487</v>
      </c>
      <c r="C66" s="282"/>
      <c r="D66" s="79"/>
      <c r="E66" s="79"/>
      <c r="F66" s="79"/>
      <c r="G66" s="7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237"/>
      <c r="V66" s="237"/>
    </row>
    <row r="67" spans="1:56" s="33" customFormat="1" ht="18.75" customHeight="1">
      <c r="A67" s="282"/>
      <c r="B67" s="126" t="s">
        <v>321</v>
      </c>
      <c r="C67" s="282"/>
      <c r="D67" s="181"/>
      <c r="E67" s="181"/>
      <c r="F67" s="181"/>
      <c r="G67" s="582"/>
      <c r="H67" s="309"/>
      <c r="I67" s="589"/>
      <c r="J67" s="589"/>
      <c r="K67" s="589"/>
      <c r="L67" s="589"/>
      <c r="M67" s="589"/>
      <c r="N67" s="589"/>
      <c r="O67" s="589"/>
      <c r="P67" s="589"/>
      <c r="Q67" s="589"/>
      <c r="R67" s="589"/>
      <c r="S67" s="589"/>
      <c r="T67" s="589"/>
      <c r="U67" s="237"/>
      <c r="V67" s="237"/>
      <c r="W67" s="788"/>
      <c r="X67" s="785"/>
      <c r="Y67" s="785"/>
      <c r="Z67" s="785"/>
      <c r="AA67" s="785"/>
      <c r="AB67" s="785"/>
      <c r="AC67" s="785"/>
      <c r="AD67" s="785"/>
      <c r="AE67" s="785"/>
      <c r="AF67" s="785"/>
      <c r="AG67" s="785"/>
      <c r="AH67" s="785"/>
      <c r="AI67" s="785"/>
      <c r="AJ67" s="785"/>
      <c r="AK67" s="785"/>
      <c r="AL67" s="785"/>
      <c r="AM67" s="785"/>
      <c r="AN67" s="785"/>
      <c r="AO67" s="785"/>
      <c r="AP67" s="785"/>
      <c r="AQ67" s="785"/>
      <c r="AR67" s="785"/>
      <c r="AS67" s="785"/>
      <c r="AT67" s="785"/>
      <c r="AU67" s="785"/>
      <c r="AV67" s="785"/>
      <c r="AW67" s="785"/>
      <c r="AX67" s="785"/>
      <c r="AY67" s="785"/>
      <c r="AZ67" s="785"/>
      <c r="BA67" s="785"/>
      <c r="BB67" s="785"/>
      <c r="BC67" s="785"/>
      <c r="BD67" s="785"/>
    </row>
    <row r="68" spans="1:23" ht="18.75" customHeight="1">
      <c r="A68" s="586" t="s">
        <v>337</v>
      </c>
      <c r="B68" s="235" t="s">
        <v>188</v>
      </c>
      <c r="C68" s="129" t="s">
        <v>186</v>
      </c>
      <c r="D68" s="595">
        <v>595.89</v>
      </c>
      <c r="E68" s="595">
        <v>595.89</v>
      </c>
      <c r="F68" s="595">
        <f>E68</f>
        <v>595.89</v>
      </c>
      <c r="G68" s="595">
        <v>595.89</v>
      </c>
      <c r="H68" s="459">
        <v>595.89</v>
      </c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  <c r="T68" s="309"/>
      <c r="U68" s="238">
        <f aca="true" t="shared" si="17" ref="U68:U74">G68/D68%</f>
        <v>100</v>
      </c>
      <c r="V68" s="238">
        <f>H68/G68%</f>
        <v>100</v>
      </c>
      <c r="W68" s="788"/>
    </row>
    <row r="69" spans="1:23" ht="18.75" customHeight="1">
      <c r="A69" s="586" t="s">
        <v>337</v>
      </c>
      <c r="B69" s="235" t="s">
        <v>198</v>
      </c>
      <c r="C69" s="129" t="s">
        <v>185</v>
      </c>
      <c r="D69" s="182">
        <v>78</v>
      </c>
      <c r="E69" s="182">
        <v>80</v>
      </c>
      <c r="F69" s="182">
        <v>52</v>
      </c>
      <c r="G69" s="182">
        <v>108</v>
      </c>
      <c r="H69" s="182">
        <v>126</v>
      </c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236">
        <f t="shared" si="17"/>
        <v>138.46153846153845</v>
      </c>
      <c r="V69" s="236">
        <f>H69/G69%</f>
        <v>116.66666666666666</v>
      </c>
      <c r="W69" s="788"/>
    </row>
    <row r="70" spans="1:23" ht="18.75" customHeight="1">
      <c r="A70" s="586" t="s">
        <v>337</v>
      </c>
      <c r="B70" s="235" t="s">
        <v>335</v>
      </c>
      <c r="C70" s="129" t="s">
        <v>185</v>
      </c>
      <c r="D70" s="182">
        <f>D69/6</f>
        <v>13</v>
      </c>
      <c r="E70" s="161">
        <f>E69/6</f>
        <v>13.333333333333334</v>
      </c>
      <c r="F70" s="161">
        <f>F69/6</f>
        <v>8.666666666666666</v>
      </c>
      <c r="G70" s="161">
        <f>G69/6</f>
        <v>18</v>
      </c>
      <c r="H70" s="182">
        <f>H69/6</f>
        <v>21</v>
      </c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236">
        <f t="shared" si="17"/>
        <v>138.46153846153845</v>
      </c>
      <c r="V70" s="236">
        <f>H70/G70%</f>
        <v>116.66666666666667</v>
      </c>
      <c r="W70" s="788"/>
    </row>
    <row r="71" spans="1:23" ht="18.75" customHeight="1">
      <c r="A71" s="586" t="s">
        <v>337</v>
      </c>
      <c r="B71" s="235" t="s">
        <v>695</v>
      </c>
      <c r="C71" s="129" t="s">
        <v>696</v>
      </c>
      <c r="D71" s="182"/>
      <c r="E71" s="161"/>
      <c r="F71" s="161"/>
      <c r="G71" s="161"/>
      <c r="H71" s="182">
        <v>1500</v>
      </c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236"/>
      <c r="V71" s="236"/>
      <c r="W71" s="788"/>
    </row>
    <row r="72" spans="1:22" ht="18.75" customHeight="1">
      <c r="A72" s="282" t="s">
        <v>135</v>
      </c>
      <c r="B72" s="126" t="s">
        <v>199</v>
      </c>
      <c r="C72" s="282"/>
      <c r="D72" s="163">
        <f>SUM(D73:D78)</f>
        <v>355688</v>
      </c>
      <c r="E72" s="163">
        <f>SUM(E73:E78)</f>
        <v>372768</v>
      </c>
      <c r="F72" s="163">
        <f>SUM(F73:F78)</f>
        <v>364700</v>
      </c>
      <c r="G72" s="163">
        <f aca="true" t="shared" si="18" ref="G72:T72">SUM(G73:G78)</f>
        <v>375078</v>
      </c>
      <c r="H72" s="163">
        <f t="shared" si="18"/>
        <v>392399</v>
      </c>
      <c r="I72" s="163">
        <f t="shared" si="18"/>
        <v>37888</v>
      </c>
      <c r="J72" s="163">
        <f t="shared" si="18"/>
        <v>32811</v>
      </c>
      <c r="K72" s="163">
        <f t="shared" si="18"/>
        <v>27608</v>
      </c>
      <c r="L72" s="163">
        <f t="shared" si="18"/>
        <v>40202</v>
      </c>
      <c r="M72" s="163">
        <f t="shared" si="18"/>
        <v>43752</v>
      </c>
      <c r="N72" s="163">
        <f t="shared" si="18"/>
        <v>29388</v>
      </c>
      <c r="O72" s="163">
        <f t="shared" si="18"/>
        <v>35124</v>
      </c>
      <c r="P72" s="163">
        <f t="shared" si="18"/>
        <v>35810</v>
      </c>
      <c r="Q72" s="163">
        <f t="shared" si="18"/>
        <v>25134</v>
      </c>
      <c r="R72" s="163">
        <f t="shared" si="18"/>
        <v>32243</v>
      </c>
      <c r="S72" s="163">
        <f t="shared" si="18"/>
        <v>28009</v>
      </c>
      <c r="T72" s="163">
        <f t="shared" si="18"/>
        <v>24430</v>
      </c>
      <c r="U72" s="283">
        <f t="shared" si="17"/>
        <v>105.45140685094802</v>
      </c>
      <c r="V72" s="283">
        <f>H72/G72%</f>
        <v>104.61797279499197</v>
      </c>
    </row>
    <row r="73" spans="1:22" ht="18.75" customHeight="1">
      <c r="A73" s="129">
        <v>1</v>
      </c>
      <c r="B73" s="235" t="s">
        <v>200</v>
      </c>
      <c r="C73" s="129" t="s">
        <v>201</v>
      </c>
      <c r="D73" s="447">
        <v>15798</v>
      </c>
      <c r="E73" s="598">
        <v>16114</v>
      </c>
      <c r="F73" s="182">
        <v>15960</v>
      </c>
      <c r="G73" s="182">
        <f>+E73</f>
        <v>16114</v>
      </c>
      <c r="H73" s="182">
        <f aca="true" t="shared" si="19" ref="H73:H78">SUM(I73:T73)</f>
        <v>16597</v>
      </c>
      <c r="I73" s="182">
        <f>37+770+5+53</f>
        <v>865</v>
      </c>
      <c r="J73" s="471">
        <f>37+1891+53</f>
        <v>1981</v>
      </c>
      <c r="K73" s="472">
        <f>37+1781+53</f>
        <v>1871</v>
      </c>
      <c r="L73" s="472">
        <f>37+974+53</f>
        <v>1064</v>
      </c>
      <c r="M73" s="472">
        <f>37+1862+53</f>
        <v>1952</v>
      </c>
      <c r="N73" s="472">
        <f>37+1800+53</f>
        <v>1890</v>
      </c>
      <c r="O73" s="472">
        <f>37+1269+53</f>
        <v>1359</v>
      </c>
      <c r="P73" s="471">
        <v>1374</v>
      </c>
      <c r="Q73" s="472">
        <f>37+685+53</f>
        <v>775</v>
      </c>
      <c r="R73" s="472">
        <f>37+939+53</f>
        <v>1029</v>
      </c>
      <c r="S73" s="472">
        <f>37+1344+53</f>
        <v>1434</v>
      </c>
      <c r="T73" s="472">
        <f>37+913+53</f>
        <v>1003</v>
      </c>
      <c r="U73" s="238">
        <f t="shared" si="17"/>
        <v>102.00025319660718</v>
      </c>
      <c r="V73" s="238">
        <f>H73/G73*100</f>
        <v>102.99739357080799</v>
      </c>
    </row>
    <row r="74" spans="1:22" ht="18.75" customHeight="1">
      <c r="A74" s="129">
        <v>2</v>
      </c>
      <c r="B74" s="235" t="s">
        <v>202</v>
      </c>
      <c r="C74" s="129" t="s">
        <v>201</v>
      </c>
      <c r="D74" s="447">
        <v>4642</v>
      </c>
      <c r="E74" s="598">
        <v>4921</v>
      </c>
      <c r="F74" s="182">
        <v>5249</v>
      </c>
      <c r="G74" s="182">
        <v>5755</v>
      </c>
      <c r="H74" s="182">
        <f t="shared" si="19"/>
        <v>5928</v>
      </c>
      <c r="I74" s="182">
        <f>57+260</f>
        <v>317</v>
      </c>
      <c r="J74" s="473">
        <f>57+415</f>
        <v>472</v>
      </c>
      <c r="K74" s="182">
        <f>+-31+753+57</f>
        <v>779</v>
      </c>
      <c r="L74" s="182">
        <f>57+234</f>
        <v>291</v>
      </c>
      <c r="M74" s="182">
        <v>560</v>
      </c>
      <c r="N74" s="182">
        <v>663</v>
      </c>
      <c r="O74" s="182">
        <f>57+386</f>
        <v>443</v>
      </c>
      <c r="P74" s="473">
        <f>57+382</f>
        <v>439</v>
      </c>
      <c r="Q74" s="182">
        <f>57+292</f>
        <v>349</v>
      </c>
      <c r="R74" s="182">
        <f>57+470</f>
        <v>527</v>
      </c>
      <c r="S74" s="182">
        <f>57+453</f>
        <v>510</v>
      </c>
      <c r="T74" s="182">
        <v>578</v>
      </c>
      <c r="U74" s="236">
        <f t="shared" si="17"/>
        <v>123.97673416630762</v>
      </c>
      <c r="V74" s="236">
        <f>H74/G74%</f>
        <v>103.00608166811469</v>
      </c>
    </row>
    <row r="75" spans="1:22" ht="18.75" customHeight="1">
      <c r="A75" s="129">
        <v>3</v>
      </c>
      <c r="B75" s="235" t="s">
        <v>203</v>
      </c>
      <c r="C75" s="129" t="s">
        <v>201</v>
      </c>
      <c r="D75" s="447">
        <v>47056</v>
      </c>
      <c r="E75" s="598">
        <v>49939</v>
      </c>
      <c r="F75" s="481">
        <v>49210</v>
      </c>
      <c r="G75" s="182">
        <v>50350</v>
      </c>
      <c r="H75" s="182">
        <f t="shared" si="19"/>
        <v>51862</v>
      </c>
      <c r="I75" s="474">
        <f>997+3328+250+3+179+221</f>
        <v>4978</v>
      </c>
      <c r="J75" s="474">
        <f>997+6282+6+179+221</f>
        <v>7685</v>
      </c>
      <c r="K75" s="474">
        <f>997+4281+6+179+221</f>
        <v>5684</v>
      </c>
      <c r="L75" s="474">
        <f>221+956</f>
        <v>1177</v>
      </c>
      <c r="M75" s="474">
        <f>997+2281+250+6+179+221</f>
        <v>3934</v>
      </c>
      <c r="N75" s="474">
        <f>997+2253+241+6+179+221</f>
        <v>3897</v>
      </c>
      <c r="O75" s="474">
        <f>358+5050+6+179+221</f>
        <v>5814</v>
      </c>
      <c r="P75" s="474">
        <f>221+3678</f>
        <v>3899</v>
      </c>
      <c r="Q75" s="474">
        <f>997+2680+241+6+179+221</f>
        <v>4324</v>
      </c>
      <c r="R75" s="474">
        <f>221+3381</f>
        <v>3602</v>
      </c>
      <c r="S75" s="474">
        <f>997+1918+138+6+179+221</f>
        <v>3459</v>
      </c>
      <c r="T75" s="474">
        <f>997+2006+6+179+221</f>
        <v>3409</v>
      </c>
      <c r="U75" s="254">
        <v>105.99835661462613</v>
      </c>
      <c r="V75" s="238">
        <f>H75/G75%</f>
        <v>103.00297914597816</v>
      </c>
    </row>
    <row r="76" spans="1:56" s="33" customFormat="1" ht="18.75" customHeight="1">
      <c r="A76" s="129">
        <v>4</v>
      </c>
      <c r="B76" s="235" t="s">
        <v>204</v>
      </c>
      <c r="C76" s="129" t="s">
        <v>201</v>
      </c>
      <c r="D76" s="447">
        <v>16294</v>
      </c>
      <c r="E76" s="598">
        <v>16946</v>
      </c>
      <c r="F76" s="182">
        <v>17435</v>
      </c>
      <c r="G76" s="182">
        <v>17978</v>
      </c>
      <c r="H76" s="182">
        <f t="shared" si="19"/>
        <v>18897</v>
      </c>
      <c r="I76" s="475">
        <v>551</v>
      </c>
      <c r="J76" s="474">
        <f>250+2329+83+24+95+105</f>
        <v>2886</v>
      </c>
      <c r="K76" s="474">
        <f>250+1994+83+24+95+105</f>
        <v>2551</v>
      </c>
      <c r="L76" s="474">
        <f>80+800+83+24+95+105</f>
        <v>1187</v>
      </c>
      <c r="M76" s="474">
        <f>250+2221+83+24+95+105</f>
        <v>2778</v>
      </c>
      <c r="N76" s="474">
        <f>250+1353+83+24+95+105</f>
        <v>1910</v>
      </c>
      <c r="O76" s="474">
        <f>150+1532+83+24+95+105</f>
        <v>1989</v>
      </c>
      <c r="P76" s="474">
        <f>80+898+83+24+95+105</f>
        <v>1285</v>
      </c>
      <c r="Q76" s="474">
        <f>80+453+83+24+95+105+200</f>
        <v>1040</v>
      </c>
      <c r="R76" s="474">
        <f>80+631+83+24+95+105</f>
        <v>1018</v>
      </c>
      <c r="S76" s="474">
        <f>105+612</f>
        <v>717</v>
      </c>
      <c r="T76" s="474">
        <f>70+691+24+95+105</f>
        <v>985</v>
      </c>
      <c r="U76" s="236">
        <f>G76/D76%</f>
        <v>110.33509267214926</v>
      </c>
      <c r="V76" s="236">
        <f>H76/G76%</f>
        <v>105.11180331516297</v>
      </c>
      <c r="W76" s="785"/>
      <c r="X76" s="785"/>
      <c r="Y76" s="785"/>
      <c r="Z76" s="785"/>
      <c r="AA76" s="785"/>
      <c r="AB76" s="785"/>
      <c r="AC76" s="785"/>
      <c r="AD76" s="785"/>
      <c r="AE76" s="785"/>
      <c r="AF76" s="785"/>
      <c r="AG76" s="785"/>
      <c r="AH76" s="785"/>
      <c r="AI76" s="785"/>
      <c r="AJ76" s="785"/>
      <c r="AK76" s="785"/>
      <c r="AL76" s="785"/>
      <c r="AM76" s="785"/>
      <c r="AN76" s="785"/>
      <c r="AO76" s="785"/>
      <c r="AP76" s="785"/>
      <c r="AQ76" s="785"/>
      <c r="AR76" s="785"/>
      <c r="AS76" s="785"/>
      <c r="AT76" s="785"/>
      <c r="AU76" s="785"/>
      <c r="AV76" s="785"/>
      <c r="AW76" s="785"/>
      <c r="AX76" s="785"/>
      <c r="AY76" s="785"/>
      <c r="AZ76" s="785"/>
      <c r="BA76" s="785"/>
      <c r="BB76" s="785"/>
      <c r="BC76" s="785"/>
      <c r="BD76" s="785"/>
    </row>
    <row r="77" spans="1:56" s="33" customFormat="1" ht="18.75" customHeight="1">
      <c r="A77" s="129">
        <v>5</v>
      </c>
      <c r="B77" s="235" t="s">
        <v>336</v>
      </c>
      <c r="C77" s="129" t="s">
        <v>201</v>
      </c>
      <c r="D77" s="447">
        <v>428</v>
      </c>
      <c r="E77" s="598">
        <v>443</v>
      </c>
      <c r="F77" s="182">
        <v>476</v>
      </c>
      <c r="G77" s="182">
        <v>476</v>
      </c>
      <c r="H77" s="182">
        <f t="shared" si="19"/>
        <v>490</v>
      </c>
      <c r="I77" s="475">
        <v>17</v>
      </c>
      <c r="J77" s="474">
        <v>66</v>
      </c>
      <c r="K77" s="474">
        <v>50</v>
      </c>
      <c r="L77" s="474">
        <v>5</v>
      </c>
      <c r="M77" s="474">
        <v>4</v>
      </c>
      <c r="N77" s="474">
        <v>135</v>
      </c>
      <c r="O77" s="474">
        <v>27</v>
      </c>
      <c r="P77" s="474">
        <v>125</v>
      </c>
      <c r="Q77" s="474">
        <v>18</v>
      </c>
      <c r="R77" s="474">
        <v>30</v>
      </c>
      <c r="S77" s="474">
        <v>4</v>
      </c>
      <c r="T77" s="474">
        <v>9</v>
      </c>
      <c r="U77" s="236">
        <f>G77/D77%</f>
        <v>111.21495327102804</v>
      </c>
      <c r="V77" s="236">
        <f>H77/G77%</f>
        <v>102.94117647058825</v>
      </c>
      <c r="W77" s="785"/>
      <c r="X77" s="785"/>
      <c r="Y77" s="785"/>
      <c r="Z77" s="785"/>
      <c r="AA77" s="785"/>
      <c r="AB77" s="785"/>
      <c r="AC77" s="785"/>
      <c r="AD77" s="785"/>
      <c r="AE77" s="785"/>
      <c r="AF77" s="785"/>
      <c r="AG77" s="785"/>
      <c r="AH77" s="785"/>
      <c r="AI77" s="785"/>
      <c r="AJ77" s="785"/>
      <c r="AK77" s="785"/>
      <c r="AL77" s="785"/>
      <c r="AM77" s="785"/>
      <c r="AN77" s="785"/>
      <c r="AO77" s="785"/>
      <c r="AP77" s="785"/>
      <c r="AQ77" s="785"/>
      <c r="AR77" s="785"/>
      <c r="AS77" s="785"/>
      <c r="AT77" s="785"/>
      <c r="AU77" s="785"/>
      <c r="AV77" s="785"/>
      <c r="AW77" s="785"/>
      <c r="AX77" s="785"/>
      <c r="AY77" s="785"/>
      <c r="AZ77" s="785"/>
      <c r="BA77" s="785"/>
      <c r="BB77" s="785"/>
      <c r="BC77" s="785"/>
      <c r="BD77" s="785"/>
    </row>
    <row r="78" spans="1:56" s="33" customFormat="1" ht="18.75" customHeight="1">
      <c r="A78" s="129">
        <v>6</v>
      </c>
      <c r="B78" s="235" t="s">
        <v>274</v>
      </c>
      <c r="C78" s="129" t="s">
        <v>201</v>
      </c>
      <c r="D78" s="447">
        <v>271470</v>
      </c>
      <c r="E78" s="598">
        <v>284405</v>
      </c>
      <c r="F78" s="182">
        <v>276370</v>
      </c>
      <c r="G78" s="182">
        <v>284405</v>
      </c>
      <c r="H78" s="182">
        <f t="shared" si="19"/>
        <v>298625</v>
      </c>
      <c r="I78" s="474">
        <f>2709+26020+41+100+27+408+1740+115</f>
        <v>31160</v>
      </c>
      <c r="J78" s="474">
        <f>2790+14500+41+100+27+408+1740+115</f>
        <v>19721</v>
      </c>
      <c r="K78" s="254">
        <f>2719+11520+41+103+27+408+1740+115</f>
        <v>16673</v>
      </c>
      <c r="L78" s="474">
        <f>31251+2796+41+100+27+408+1740+115</f>
        <v>36478</v>
      </c>
      <c r="M78" s="254">
        <f>2709+29384+41+100+27+408+1740+115</f>
        <v>34524</v>
      </c>
      <c r="N78" s="254">
        <f>2709+15753+41+100+27+408+1740+115</f>
        <v>20893</v>
      </c>
      <c r="O78" s="254">
        <f>2709+20357+41+100+27+408+1740+110</f>
        <v>25492</v>
      </c>
      <c r="P78" s="474">
        <f>2709+23548+41+100+27+408+1740+115</f>
        <v>28688</v>
      </c>
      <c r="Q78" s="474">
        <f>2709+10947+2541+41+100+27+408+1740+115</f>
        <v>18628</v>
      </c>
      <c r="R78" s="474">
        <f>2709+20897+41+100+27+408+1740+115</f>
        <v>26037</v>
      </c>
      <c r="S78" s="474">
        <f>1740+20030+115</f>
        <v>21885</v>
      </c>
      <c r="T78" s="474">
        <f>2709+13305+41+100+28+408+1740+115</f>
        <v>18446</v>
      </c>
      <c r="U78" s="238">
        <f>G78/D78%</f>
        <v>104.76479905698605</v>
      </c>
      <c r="V78" s="238">
        <f>H78/G78%</f>
        <v>104.99991209718534</v>
      </c>
      <c r="W78" s="785"/>
      <c r="X78" s="785"/>
      <c r="Y78" s="785"/>
      <c r="Z78" s="785"/>
      <c r="AA78" s="785"/>
      <c r="AB78" s="785"/>
      <c r="AC78" s="785"/>
      <c r="AD78" s="785"/>
      <c r="AE78" s="785"/>
      <c r="AF78" s="785"/>
      <c r="AG78" s="785"/>
      <c r="AH78" s="785"/>
      <c r="AI78" s="785"/>
      <c r="AJ78" s="785"/>
      <c r="AK78" s="785"/>
      <c r="AL78" s="785"/>
      <c r="AM78" s="785"/>
      <c r="AN78" s="785"/>
      <c r="AO78" s="785"/>
      <c r="AP78" s="785"/>
      <c r="AQ78" s="785"/>
      <c r="AR78" s="785"/>
      <c r="AS78" s="785"/>
      <c r="AT78" s="785"/>
      <c r="AU78" s="785"/>
      <c r="AV78" s="785"/>
      <c r="AW78" s="785"/>
      <c r="AX78" s="785"/>
      <c r="AY78" s="785"/>
      <c r="AZ78" s="785"/>
      <c r="BA78" s="785"/>
      <c r="BB78" s="785"/>
      <c r="BC78" s="785"/>
      <c r="BD78" s="785"/>
    </row>
    <row r="79" spans="1:56" s="33" customFormat="1" ht="18.75" customHeight="1">
      <c r="A79" s="282" t="s">
        <v>137</v>
      </c>
      <c r="B79" s="126" t="s">
        <v>205</v>
      </c>
      <c r="C79" s="282"/>
      <c r="D79" s="181"/>
      <c r="E79" s="181"/>
      <c r="F79" s="181"/>
      <c r="G79" s="181"/>
      <c r="H79" s="130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237"/>
      <c r="V79" s="237"/>
      <c r="W79" s="785"/>
      <c r="X79" s="785"/>
      <c r="Y79" s="785"/>
      <c r="Z79" s="785"/>
      <c r="AA79" s="785"/>
      <c r="AB79" s="785"/>
      <c r="AC79" s="785"/>
      <c r="AD79" s="785"/>
      <c r="AE79" s="785"/>
      <c r="AF79" s="785"/>
      <c r="AG79" s="785"/>
      <c r="AH79" s="785"/>
      <c r="AI79" s="785"/>
      <c r="AJ79" s="785"/>
      <c r="AK79" s="785"/>
      <c r="AL79" s="785"/>
      <c r="AM79" s="785"/>
      <c r="AN79" s="785"/>
      <c r="AO79" s="785"/>
      <c r="AP79" s="785"/>
      <c r="AQ79" s="785"/>
      <c r="AR79" s="785"/>
      <c r="AS79" s="785"/>
      <c r="AT79" s="785"/>
      <c r="AU79" s="785"/>
      <c r="AV79" s="785"/>
      <c r="AW79" s="785"/>
      <c r="AX79" s="785"/>
      <c r="AY79" s="785"/>
      <c r="AZ79" s="785"/>
      <c r="BA79" s="785"/>
      <c r="BB79" s="785"/>
      <c r="BC79" s="785"/>
      <c r="BD79" s="785"/>
    </row>
    <row r="80" spans="1:22" ht="18.75" customHeight="1">
      <c r="A80" s="129">
        <v>1</v>
      </c>
      <c r="B80" s="235" t="s">
        <v>206</v>
      </c>
      <c r="C80" s="129" t="s">
        <v>186</v>
      </c>
      <c r="D80" s="615">
        <v>70</v>
      </c>
      <c r="E80" s="598">
        <v>70</v>
      </c>
      <c r="F80" s="130">
        <v>75</v>
      </c>
      <c r="G80" s="130">
        <v>77</v>
      </c>
      <c r="H80" s="130">
        <f>SUM(I80:T80)</f>
        <v>80</v>
      </c>
      <c r="I80" s="480">
        <v>13</v>
      </c>
      <c r="J80" s="477">
        <v>7.27</v>
      </c>
      <c r="K80" s="480">
        <v>16</v>
      </c>
      <c r="L80" s="480">
        <v>16</v>
      </c>
      <c r="M80" s="480">
        <v>18</v>
      </c>
      <c r="N80" s="480">
        <v>3</v>
      </c>
      <c r="O80" s="476">
        <v>1.2</v>
      </c>
      <c r="P80" s="476">
        <v>1.5</v>
      </c>
      <c r="Q80" s="477"/>
      <c r="R80" s="477">
        <v>1.03</v>
      </c>
      <c r="S80" s="480">
        <v>1</v>
      </c>
      <c r="T80" s="480">
        <v>2</v>
      </c>
      <c r="U80" s="238">
        <f>G80/D80%</f>
        <v>110</v>
      </c>
      <c r="V80" s="237">
        <f>H80/G80%</f>
        <v>103.8961038961039</v>
      </c>
    </row>
    <row r="81" spans="1:22" ht="18.75" customHeight="1">
      <c r="A81" s="129">
        <v>2</v>
      </c>
      <c r="B81" s="235" t="s">
        <v>282</v>
      </c>
      <c r="C81" s="129" t="s">
        <v>185</v>
      </c>
      <c r="D81" s="613">
        <f>D82+D83</f>
        <v>154.06</v>
      </c>
      <c r="E81" s="598">
        <f>E82+E83</f>
        <v>155</v>
      </c>
      <c r="F81" s="130">
        <f>F82+F83</f>
        <v>50.769999999999996</v>
      </c>
      <c r="G81" s="130">
        <f>+G82+G83</f>
        <v>156</v>
      </c>
      <c r="H81" s="130">
        <f>H82+H83</f>
        <v>165</v>
      </c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236">
        <f>G81/D81%</f>
        <v>101.25924964299624</v>
      </c>
      <c r="V81" s="236">
        <f>H81/G81%</f>
        <v>105.76923076923076</v>
      </c>
    </row>
    <row r="82" spans="1:22" ht="18.75" customHeight="1">
      <c r="A82" s="586" t="s">
        <v>337</v>
      </c>
      <c r="B82" s="235" t="s">
        <v>207</v>
      </c>
      <c r="C82" s="129" t="s">
        <v>185</v>
      </c>
      <c r="D82" s="613">
        <v>105.26</v>
      </c>
      <c r="E82" s="615">
        <v>106</v>
      </c>
      <c r="F82" s="478">
        <v>33.21</v>
      </c>
      <c r="G82" s="130">
        <f>+E82</f>
        <v>106</v>
      </c>
      <c r="H82" s="130">
        <v>110</v>
      </c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237">
        <f>G82/D82%</f>
        <v>100.70302109063272</v>
      </c>
      <c r="V82" s="236">
        <f>H82/G82%</f>
        <v>103.77358490566037</v>
      </c>
    </row>
    <row r="83" spans="1:56" s="33" customFormat="1" ht="18.75" customHeight="1">
      <c r="A83" s="586" t="s">
        <v>337</v>
      </c>
      <c r="B83" s="235" t="s">
        <v>208</v>
      </c>
      <c r="C83" s="129" t="s">
        <v>185</v>
      </c>
      <c r="D83" s="614">
        <v>48.8</v>
      </c>
      <c r="E83" s="615">
        <v>49</v>
      </c>
      <c r="F83" s="479">
        <v>17.56</v>
      </c>
      <c r="G83" s="130">
        <v>50</v>
      </c>
      <c r="H83" s="130">
        <v>55</v>
      </c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236">
        <f>G83/D83%</f>
        <v>102.45901639344262</v>
      </c>
      <c r="V83" s="238">
        <f>H83/G83%</f>
        <v>110</v>
      </c>
      <c r="W83" s="785"/>
      <c r="X83" s="785"/>
      <c r="Y83" s="785"/>
      <c r="Z83" s="785"/>
      <c r="AA83" s="785"/>
      <c r="AB83" s="785"/>
      <c r="AC83" s="785"/>
      <c r="AD83" s="785"/>
      <c r="AE83" s="785"/>
      <c r="AF83" s="785"/>
      <c r="AG83" s="785"/>
      <c r="AH83" s="785"/>
      <c r="AI83" s="785"/>
      <c r="AJ83" s="785"/>
      <c r="AK83" s="785"/>
      <c r="AL83" s="785"/>
      <c r="AM83" s="785"/>
      <c r="AN83" s="785"/>
      <c r="AO83" s="785"/>
      <c r="AP83" s="785"/>
      <c r="AQ83" s="785"/>
      <c r="AR83" s="785"/>
      <c r="AS83" s="785"/>
      <c r="AT83" s="785"/>
      <c r="AU83" s="785"/>
      <c r="AV83" s="785"/>
      <c r="AW83" s="785"/>
      <c r="AX83" s="785"/>
      <c r="AY83" s="785"/>
      <c r="AZ83" s="785"/>
      <c r="BA83" s="785"/>
      <c r="BB83" s="785"/>
      <c r="BC83" s="785"/>
      <c r="BD83" s="785"/>
    </row>
    <row r="84" spans="1:56" s="33" customFormat="1" ht="18.75" customHeight="1">
      <c r="A84" s="282" t="s">
        <v>322</v>
      </c>
      <c r="B84" s="126" t="s">
        <v>209</v>
      </c>
      <c r="C84" s="282"/>
      <c r="D84" s="181"/>
      <c r="E84" s="181"/>
      <c r="F84" s="181"/>
      <c r="G84" s="181"/>
      <c r="H84" s="130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238"/>
      <c r="V84" s="238"/>
      <c r="W84" s="785"/>
      <c r="X84" s="785"/>
      <c r="Y84" s="785"/>
      <c r="Z84" s="785"/>
      <c r="AA84" s="785"/>
      <c r="AB84" s="785"/>
      <c r="AC84" s="785"/>
      <c r="AD84" s="785"/>
      <c r="AE84" s="785"/>
      <c r="AF84" s="785"/>
      <c r="AG84" s="785"/>
      <c r="AH84" s="785"/>
      <c r="AI84" s="785"/>
      <c r="AJ84" s="785"/>
      <c r="AK84" s="785"/>
      <c r="AL84" s="785"/>
      <c r="AM84" s="785"/>
      <c r="AN84" s="785"/>
      <c r="AO84" s="785"/>
      <c r="AP84" s="785"/>
      <c r="AQ84" s="785"/>
      <c r="AR84" s="785"/>
      <c r="AS84" s="785"/>
      <c r="AT84" s="785"/>
      <c r="AU84" s="785"/>
      <c r="AV84" s="785"/>
      <c r="AW84" s="785"/>
      <c r="AX84" s="785"/>
      <c r="AY84" s="785"/>
      <c r="AZ84" s="785"/>
      <c r="BA84" s="785"/>
      <c r="BB84" s="785"/>
      <c r="BC84" s="785"/>
      <c r="BD84" s="785"/>
    </row>
    <row r="85" spans="1:22" ht="18.75" customHeight="1">
      <c r="A85" s="129">
        <v>1</v>
      </c>
      <c r="B85" s="235" t="s">
        <v>210</v>
      </c>
      <c r="C85" s="129" t="s">
        <v>13</v>
      </c>
      <c r="D85" s="161">
        <v>38.4</v>
      </c>
      <c r="E85" s="161">
        <v>39.2</v>
      </c>
      <c r="F85" s="616">
        <v>38.32</v>
      </c>
      <c r="G85" s="161">
        <f>E85</f>
        <v>39.2</v>
      </c>
      <c r="H85" s="458">
        <v>40</v>
      </c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237">
        <f>G85-D85</f>
        <v>0.8000000000000043</v>
      </c>
      <c r="V85" s="237">
        <f>H85-G85</f>
        <v>0.7999999999999972</v>
      </c>
    </row>
    <row r="86" spans="1:22" ht="18.75" customHeight="1">
      <c r="A86" s="129">
        <v>2</v>
      </c>
      <c r="B86" s="235" t="s">
        <v>283</v>
      </c>
      <c r="C86" s="129" t="s">
        <v>293</v>
      </c>
      <c r="D86" s="130">
        <v>18675</v>
      </c>
      <c r="E86" s="130">
        <v>28000</v>
      </c>
      <c r="F86" s="130">
        <v>635</v>
      </c>
      <c r="G86" s="130">
        <v>4000</v>
      </c>
      <c r="H86" s="310">
        <v>4000</v>
      </c>
      <c r="I86" s="310"/>
      <c r="J86" s="310"/>
      <c r="K86" s="310"/>
      <c r="L86" s="310"/>
      <c r="M86" s="310"/>
      <c r="N86" s="310"/>
      <c r="O86" s="310"/>
      <c r="P86" s="310"/>
      <c r="Q86" s="310"/>
      <c r="R86" s="310"/>
      <c r="S86" s="310"/>
      <c r="T86" s="310"/>
      <c r="U86" s="236">
        <f>G86/D86*100</f>
        <v>21.4190093708166</v>
      </c>
      <c r="V86" s="238">
        <f>H86/G86%</f>
        <v>100</v>
      </c>
    </row>
    <row r="87" spans="1:22" ht="18.75" customHeight="1">
      <c r="A87" s="129">
        <v>3</v>
      </c>
      <c r="B87" s="235" t="s">
        <v>554</v>
      </c>
      <c r="C87" s="129" t="s">
        <v>186</v>
      </c>
      <c r="D87" s="595">
        <v>25932.04</v>
      </c>
      <c r="E87" s="161">
        <v>25932.2</v>
      </c>
      <c r="F87" s="182">
        <v>26271</v>
      </c>
      <c r="G87" s="182">
        <f>68414*39.2%</f>
        <v>26818.288</v>
      </c>
      <c r="H87" s="130">
        <f>SUM(I87:T87)</f>
        <v>27366</v>
      </c>
      <c r="I87" s="481">
        <v>315</v>
      </c>
      <c r="J87" s="481">
        <f>46+1590</f>
        <v>1636</v>
      </c>
      <c r="K87" s="481">
        <f>22+1573+46</f>
        <v>1641</v>
      </c>
      <c r="L87" s="481">
        <f>46+2169</f>
        <v>2215</v>
      </c>
      <c r="M87" s="481">
        <f>22+3795+46</f>
        <v>3863</v>
      </c>
      <c r="N87" s="481">
        <f>22+2977+46</f>
        <v>3045</v>
      </c>
      <c r="O87" s="481">
        <f>22+2433+46</f>
        <v>2501</v>
      </c>
      <c r="P87" s="481">
        <f>46+1635</f>
        <v>1681</v>
      </c>
      <c r="Q87" s="481">
        <f>46+2374</f>
        <v>2420</v>
      </c>
      <c r="R87" s="481">
        <f>22+1775+46+15</f>
        <v>1858</v>
      </c>
      <c r="S87" s="481">
        <f>22+3702+46+19</f>
        <v>3789</v>
      </c>
      <c r="T87" s="473">
        <f>24+2332+46</f>
        <v>2402</v>
      </c>
      <c r="U87" s="236">
        <f>G87/D87*100</f>
        <v>103.41757918004137</v>
      </c>
      <c r="V87" s="236">
        <f>H87/G87%</f>
        <v>102.04230784604893</v>
      </c>
    </row>
    <row r="88" spans="1:22" ht="17.25" customHeight="1">
      <c r="A88" s="129">
        <v>4</v>
      </c>
      <c r="B88" s="587" t="s">
        <v>535</v>
      </c>
      <c r="C88" s="129" t="s">
        <v>186</v>
      </c>
      <c r="D88" s="130">
        <f>D89+D90</f>
        <v>1440</v>
      </c>
      <c r="E88" s="130">
        <f>E89+E90</f>
        <v>792</v>
      </c>
      <c r="F88" s="130"/>
      <c r="G88" s="130">
        <f>G89+G90</f>
        <v>592</v>
      </c>
      <c r="H88" s="130">
        <f>H89+H90</f>
        <v>390</v>
      </c>
      <c r="I88" s="309"/>
      <c r="J88" s="310"/>
      <c r="K88" s="310"/>
      <c r="L88" s="310"/>
      <c r="M88" s="310"/>
      <c r="N88" s="310"/>
      <c r="O88" s="310"/>
      <c r="P88" s="310"/>
      <c r="Q88" s="310"/>
      <c r="R88" s="310"/>
      <c r="S88" s="310"/>
      <c r="T88" s="310"/>
      <c r="U88" s="236">
        <f>G88/D88%</f>
        <v>41.11111111111111</v>
      </c>
      <c r="V88" s="237">
        <f>H88/G88%</f>
        <v>65.87837837837839</v>
      </c>
    </row>
    <row r="89" spans="1:22" ht="18.75" customHeight="1">
      <c r="A89" s="617" t="s">
        <v>337</v>
      </c>
      <c r="B89" s="618" t="s">
        <v>338</v>
      </c>
      <c r="C89" s="619" t="s">
        <v>186</v>
      </c>
      <c r="D89" s="472">
        <v>200</v>
      </c>
      <c r="E89" s="472">
        <v>200</v>
      </c>
      <c r="F89" s="472"/>
      <c r="G89" s="472"/>
      <c r="H89" s="620"/>
      <c r="I89" s="621"/>
      <c r="J89" s="620"/>
      <c r="K89" s="620"/>
      <c r="L89" s="620"/>
      <c r="M89" s="620"/>
      <c r="N89" s="620"/>
      <c r="O89" s="620"/>
      <c r="P89" s="620"/>
      <c r="Q89" s="620"/>
      <c r="R89" s="620"/>
      <c r="S89" s="620"/>
      <c r="T89" s="620"/>
      <c r="U89" s="238"/>
      <c r="V89" s="238"/>
    </row>
    <row r="90" spans="1:56" s="449" customFormat="1" ht="18.75" customHeight="1">
      <c r="A90" s="586" t="s">
        <v>337</v>
      </c>
      <c r="B90" s="587" t="s">
        <v>339</v>
      </c>
      <c r="C90" s="129" t="s">
        <v>186</v>
      </c>
      <c r="D90" s="182">
        <v>1240</v>
      </c>
      <c r="E90" s="182">
        <v>592</v>
      </c>
      <c r="F90" s="182"/>
      <c r="G90" s="238">
        <v>592</v>
      </c>
      <c r="H90" s="182">
        <v>390</v>
      </c>
      <c r="I90" s="457"/>
      <c r="J90" s="458"/>
      <c r="K90" s="458"/>
      <c r="L90" s="458"/>
      <c r="M90" s="458"/>
      <c r="N90" s="458"/>
      <c r="O90" s="458"/>
      <c r="P90" s="458"/>
      <c r="Q90" s="458"/>
      <c r="R90" s="458"/>
      <c r="S90" s="458"/>
      <c r="T90" s="458"/>
      <c r="U90" s="236">
        <f>G90/D90%</f>
        <v>47.74193548387097</v>
      </c>
      <c r="V90" s="236">
        <f>H90/G90%</f>
        <v>65.87837837837839</v>
      </c>
      <c r="W90" s="784"/>
      <c r="X90" s="784"/>
      <c r="Y90" s="784"/>
      <c r="Z90" s="784"/>
      <c r="AA90" s="784"/>
      <c r="AB90" s="784"/>
      <c r="AC90" s="784"/>
      <c r="AD90" s="784"/>
      <c r="AE90" s="784"/>
      <c r="AF90" s="784"/>
      <c r="AG90" s="784"/>
      <c r="AH90" s="784"/>
      <c r="AI90" s="784"/>
      <c r="AJ90" s="784"/>
      <c r="AK90" s="784"/>
      <c r="AL90" s="784"/>
      <c r="AM90" s="784"/>
      <c r="AN90" s="784"/>
      <c r="AO90" s="784"/>
      <c r="AP90" s="784"/>
      <c r="AQ90" s="784"/>
      <c r="AR90" s="784"/>
      <c r="AS90" s="784"/>
      <c r="AT90" s="784"/>
      <c r="AU90" s="784"/>
      <c r="AV90" s="784"/>
      <c r="AW90" s="784"/>
      <c r="AX90" s="784"/>
      <c r="AY90" s="784"/>
      <c r="AZ90" s="784"/>
      <c r="BA90" s="784"/>
      <c r="BB90" s="784"/>
      <c r="BC90" s="784"/>
      <c r="BD90" s="784"/>
    </row>
    <row r="91" spans="1:56" s="449" customFormat="1" ht="18">
      <c r="A91" s="445">
        <v>5</v>
      </c>
      <c r="B91" s="446" t="s">
        <v>685</v>
      </c>
      <c r="C91" s="445" t="s">
        <v>686</v>
      </c>
      <c r="D91" s="447">
        <v>20</v>
      </c>
      <c r="E91" s="446"/>
      <c r="F91" s="446"/>
      <c r="G91" s="446">
        <v>20</v>
      </c>
      <c r="H91" s="446">
        <v>20</v>
      </c>
      <c r="I91" s="448"/>
      <c r="J91" s="448"/>
      <c r="K91" s="448"/>
      <c r="L91" s="448"/>
      <c r="M91" s="448"/>
      <c r="N91" s="448"/>
      <c r="O91" s="448"/>
      <c r="P91" s="448"/>
      <c r="Q91" s="448"/>
      <c r="R91" s="448"/>
      <c r="S91" s="448"/>
      <c r="T91" s="448"/>
      <c r="U91" s="448"/>
      <c r="W91" s="784"/>
      <c r="X91" s="784"/>
      <c r="Y91" s="784"/>
      <c r="Z91" s="784"/>
      <c r="AA91" s="784"/>
      <c r="AB91" s="784"/>
      <c r="AC91" s="784"/>
      <c r="AD91" s="784"/>
      <c r="AE91" s="784"/>
      <c r="AF91" s="784"/>
      <c r="AG91" s="784"/>
      <c r="AH91" s="784"/>
      <c r="AI91" s="784"/>
      <c r="AJ91" s="784"/>
      <c r="AK91" s="784"/>
      <c r="AL91" s="784"/>
      <c r="AM91" s="784"/>
      <c r="AN91" s="784"/>
      <c r="AO91" s="784"/>
      <c r="AP91" s="784"/>
      <c r="AQ91" s="784"/>
      <c r="AR91" s="784"/>
      <c r="AS91" s="784"/>
      <c r="AT91" s="784"/>
      <c r="AU91" s="784"/>
      <c r="AV91" s="784"/>
      <c r="AW91" s="784"/>
      <c r="AX91" s="784"/>
      <c r="AY91" s="784"/>
      <c r="AZ91" s="784"/>
      <c r="BA91" s="784"/>
      <c r="BB91" s="784"/>
      <c r="BC91" s="784"/>
      <c r="BD91" s="784"/>
    </row>
    <row r="92" spans="1:21" ht="18">
      <c r="A92" s="34"/>
      <c r="B92" s="35"/>
      <c r="C92" s="34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</row>
    <row r="93" spans="1:21" ht="18">
      <c r="A93" s="34"/>
      <c r="B93" s="35"/>
      <c r="C93" s="34"/>
      <c r="D93" s="217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</row>
    <row r="94" spans="1:21" ht="18">
      <c r="A94" s="34"/>
      <c r="B94" s="35"/>
      <c r="C94" s="34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</row>
  </sheetData>
  <sheetProtection/>
  <mergeCells count="13">
    <mergeCell ref="E5:G6"/>
    <mergeCell ref="H6:T6"/>
    <mergeCell ref="A5:A7"/>
    <mergeCell ref="V6:V7"/>
    <mergeCell ref="U5:V5"/>
    <mergeCell ref="H5:T5"/>
    <mergeCell ref="A1:B1"/>
    <mergeCell ref="B5:B7"/>
    <mergeCell ref="A3:V3"/>
    <mergeCell ref="A2:V2"/>
    <mergeCell ref="U6:U7"/>
    <mergeCell ref="C5:C7"/>
    <mergeCell ref="D5:D7"/>
  </mergeCells>
  <printOptions/>
  <pageMargins left="0.5118110236220472" right="0.15748031496062992" top="0.5511811023622047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5.00390625" style="36" customWidth="1"/>
    <col min="2" max="2" width="36.7109375" style="31" customWidth="1"/>
    <col min="3" max="3" width="16.8515625" style="36" customWidth="1"/>
    <col min="4" max="4" width="15.57421875" style="31" customWidth="1"/>
    <col min="5" max="5" width="11.57421875" style="31" customWidth="1"/>
    <col min="6" max="6" width="11.140625" style="31" customWidth="1"/>
    <col min="7" max="7" width="9.421875" style="627" customWidth="1"/>
    <col min="8" max="8" width="11.00390625" style="627" customWidth="1"/>
    <col min="9" max="9" width="15.7109375" style="31" customWidth="1"/>
    <col min="10" max="10" width="16.140625" style="31" customWidth="1"/>
    <col min="11" max="12" width="9.140625" style="31" customWidth="1"/>
    <col min="13" max="13" width="16.140625" style="31" bestFit="1" customWidth="1"/>
    <col min="14" max="16384" width="9.140625" style="31" customWidth="1"/>
  </cols>
  <sheetData>
    <row r="1" spans="1:10" ht="18.75" customHeight="1">
      <c r="A1" s="738" t="s">
        <v>624</v>
      </c>
      <c r="B1" s="738"/>
      <c r="C1" s="30"/>
      <c r="D1" s="30"/>
      <c r="E1" s="30"/>
      <c r="F1" s="30"/>
      <c r="G1" s="622"/>
      <c r="H1" s="622"/>
      <c r="I1" s="30"/>
      <c r="J1" s="30"/>
    </row>
    <row r="2" spans="1:10" s="33" customFormat="1" ht="18" customHeight="1">
      <c r="A2" s="740" t="s">
        <v>647</v>
      </c>
      <c r="B2" s="740"/>
      <c r="C2" s="740"/>
      <c r="D2" s="740"/>
      <c r="E2" s="740"/>
      <c r="F2" s="740"/>
      <c r="G2" s="740"/>
      <c r="H2" s="740"/>
      <c r="I2" s="740"/>
      <c r="J2" s="740"/>
    </row>
    <row r="3" spans="1:10" ht="18" customHeight="1">
      <c r="A3" s="730" t="str">
        <f>'Bieu 1 nông nghiệp'!A3:V3</f>
        <v>(Kèm theo Kế hoạch số:              /KH-UBND ngày     /    /2023 của UBND huyện Tủa Chùa)</v>
      </c>
      <c r="B3" s="730"/>
      <c r="C3" s="730"/>
      <c r="D3" s="730"/>
      <c r="E3" s="730"/>
      <c r="F3" s="730"/>
      <c r="G3" s="730"/>
      <c r="H3" s="730"/>
      <c r="I3" s="730"/>
      <c r="J3" s="730"/>
    </row>
    <row r="4" spans="1:10" ht="19.5" customHeight="1">
      <c r="A4" s="287"/>
      <c r="B4" s="32"/>
      <c r="C4" s="32"/>
      <c r="D4" s="32"/>
      <c r="E4" s="32"/>
      <c r="F4" s="32"/>
      <c r="G4" s="623"/>
      <c r="H4" s="623"/>
      <c r="I4" s="32"/>
      <c r="J4" s="32"/>
    </row>
    <row r="5" spans="1:10" s="33" customFormat="1" ht="24.75" customHeight="1">
      <c r="A5" s="731" t="s">
        <v>181</v>
      </c>
      <c r="B5" s="739" t="s">
        <v>48</v>
      </c>
      <c r="C5" s="739" t="s">
        <v>182</v>
      </c>
      <c r="D5" s="731" t="s">
        <v>644</v>
      </c>
      <c r="E5" s="731" t="s">
        <v>639</v>
      </c>
      <c r="F5" s="731"/>
      <c r="G5" s="731"/>
      <c r="H5" s="732" t="s">
        <v>645</v>
      </c>
      <c r="I5" s="733" t="s">
        <v>272</v>
      </c>
      <c r="J5" s="734"/>
    </row>
    <row r="6" spans="1:10" s="33" customFormat="1" ht="18" customHeight="1">
      <c r="A6" s="739"/>
      <c r="B6" s="739"/>
      <c r="C6" s="739"/>
      <c r="D6" s="731"/>
      <c r="E6" s="731" t="s">
        <v>531</v>
      </c>
      <c r="F6" s="736" t="s">
        <v>634</v>
      </c>
      <c r="G6" s="732" t="s">
        <v>353</v>
      </c>
      <c r="H6" s="735"/>
      <c r="I6" s="731" t="s">
        <v>641</v>
      </c>
      <c r="J6" s="731" t="s">
        <v>646</v>
      </c>
    </row>
    <row r="7" spans="1:10" s="33" customFormat="1" ht="63" customHeight="1">
      <c r="A7" s="739"/>
      <c r="B7" s="739"/>
      <c r="C7" s="739"/>
      <c r="D7" s="731"/>
      <c r="E7" s="731"/>
      <c r="F7" s="737"/>
      <c r="G7" s="732"/>
      <c r="H7" s="735"/>
      <c r="I7" s="731"/>
      <c r="J7" s="731"/>
    </row>
    <row r="8" spans="1:10" s="33" customFormat="1" ht="23.25" customHeight="1">
      <c r="A8" s="145" t="s">
        <v>178</v>
      </c>
      <c r="B8" s="150" t="s">
        <v>213</v>
      </c>
      <c r="C8" s="145"/>
      <c r="D8" s="131"/>
      <c r="E8" s="131"/>
      <c r="F8" s="131"/>
      <c r="G8" s="624"/>
      <c r="H8" s="624"/>
      <c r="I8" s="131"/>
      <c r="J8" s="131"/>
    </row>
    <row r="9" spans="1:10" s="33" customFormat="1" ht="32.25" customHeight="1">
      <c r="A9" s="145">
        <v>1</v>
      </c>
      <c r="B9" s="290" t="s">
        <v>583</v>
      </c>
      <c r="C9" s="145" t="s">
        <v>159</v>
      </c>
      <c r="D9" s="312">
        <v>205.545</v>
      </c>
      <c r="E9" s="325">
        <f>D9</f>
        <v>205.545</v>
      </c>
      <c r="F9" s="487">
        <v>109.6</v>
      </c>
      <c r="G9" s="628">
        <v>216.6</v>
      </c>
      <c r="H9" s="628">
        <v>225.2</v>
      </c>
      <c r="I9" s="313">
        <f>G9/D9%</f>
        <v>105.37838429540976</v>
      </c>
      <c r="J9" s="313">
        <f>H9/G9%</f>
        <v>103.97045244690673</v>
      </c>
    </row>
    <row r="10" spans="1:10" s="33" customFormat="1" ht="33.75" customHeight="1">
      <c r="A10" s="145">
        <v>2</v>
      </c>
      <c r="B10" s="290" t="s">
        <v>488</v>
      </c>
      <c r="C10" s="145"/>
      <c r="D10" s="160"/>
      <c r="E10" s="131"/>
      <c r="F10" s="482"/>
      <c r="G10" s="629"/>
      <c r="H10" s="629"/>
      <c r="I10" s="131"/>
      <c r="J10" s="131"/>
    </row>
    <row r="11" spans="1:10" ht="23.25" customHeight="1">
      <c r="A11" s="285" t="s">
        <v>337</v>
      </c>
      <c r="B11" s="291" t="s">
        <v>223</v>
      </c>
      <c r="C11" s="148" t="s">
        <v>245</v>
      </c>
      <c r="D11" s="341">
        <v>35.6</v>
      </c>
      <c r="E11" s="341">
        <f>D11</f>
        <v>35.6</v>
      </c>
      <c r="F11" s="483">
        <v>19.1</v>
      </c>
      <c r="G11" s="630">
        <v>38.3</v>
      </c>
      <c r="H11" s="630">
        <v>40.1</v>
      </c>
      <c r="I11" s="255">
        <f>G11/D11%</f>
        <v>107.58426966292133</v>
      </c>
      <c r="J11" s="132">
        <f>H11/G11%</f>
        <v>104.69973890339428</v>
      </c>
    </row>
    <row r="12" spans="1:10" ht="23.25" customHeight="1">
      <c r="A12" s="285" t="s">
        <v>337</v>
      </c>
      <c r="B12" s="291" t="s">
        <v>263</v>
      </c>
      <c r="C12" s="148" t="s">
        <v>348</v>
      </c>
      <c r="D12" s="342">
        <v>8</v>
      </c>
      <c r="E12" s="342">
        <f>D12</f>
        <v>8</v>
      </c>
      <c r="F12" s="484">
        <v>3.7</v>
      </c>
      <c r="G12" s="631">
        <v>8</v>
      </c>
      <c r="H12" s="631">
        <v>8</v>
      </c>
      <c r="I12" s="274">
        <f>G12/D12%</f>
        <v>100</v>
      </c>
      <c r="J12" s="134">
        <f>H12/G12%</f>
        <v>100</v>
      </c>
    </row>
    <row r="13" spans="1:10" ht="23.25" customHeight="1">
      <c r="A13" s="285" t="s">
        <v>337</v>
      </c>
      <c r="B13" s="291" t="s">
        <v>284</v>
      </c>
      <c r="C13" s="148" t="s">
        <v>349</v>
      </c>
      <c r="D13" s="343">
        <v>0.61</v>
      </c>
      <c r="E13" s="341">
        <v>0.5</v>
      </c>
      <c r="F13" s="485">
        <v>0.27</v>
      </c>
      <c r="G13" s="632">
        <v>0.61</v>
      </c>
      <c r="H13" s="633">
        <v>0.7</v>
      </c>
      <c r="I13" s="256">
        <f>G13/D13%</f>
        <v>100</v>
      </c>
      <c r="J13" s="326">
        <f>H13/G13%</f>
        <v>114.75409836065575</v>
      </c>
    </row>
    <row r="14" spans="1:13" s="33" customFormat="1" ht="23.25" customHeight="1">
      <c r="A14" s="145" t="s">
        <v>4</v>
      </c>
      <c r="B14" s="292" t="s">
        <v>285</v>
      </c>
      <c r="C14" s="145"/>
      <c r="D14" s="160"/>
      <c r="E14" s="133"/>
      <c r="F14" s="484"/>
      <c r="G14" s="633"/>
      <c r="H14" s="633"/>
      <c r="I14" s="131"/>
      <c r="J14" s="133"/>
      <c r="M14" s="293"/>
    </row>
    <row r="15" spans="1:13" ht="35.25" customHeight="1">
      <c r="A15" s="153">
        <v>1</v>
      </c>
      <c r="B15" s="294" t="s">
        <v>489</v>
      </c>
      <c r="C15" s="153" t="s">
        <v>159</v>
      </c>
      <c r="D15" s="344">
        <v>596.355</v>
      </c>
      <c r="E15" s="314">
        <v>601.75</v>
      </c>
      <c r="F15" s="345">
        <v>312.6</v>
      </c>
      <c r="G15" s="625">
        <v>622.8</v>
      </c>
      <c r="H15" s="625">
        <v>662.5</v>
      </c>
      <c r="I15" s="315">
        <f>G15/D15%</f>
        <v>104.43443921825086</v>
      </c>
      <c r="J15" s="316">
        <f>H15/G15%</f>
        <v>106.37443802183687</v>
      </c>
      <c r="M15" s="295"/>
    </row>
    <row r="16" spans="1:13" s="33" customFormat="1" ht="23.25" customHeight="1">
      <c r="A16" s="145" t="s">
        <v>179</v>
      </c>
      <c r="B16" s="296" t="s">
        <v>286</v>
      </c>
      <c r="C16" s="145"/>
      <c r="D16" s="131"/>
      <c r="E16" s="133"/>
      <c r="F16" s="484"/>
      <c r="G16" s="633"/>
      <c r="H16" s="633"/>
      <c r="I16" s="131"/>
      <c r="J16" s="133"/>
      <c r="M16" s="297"/>
    </row>
    <row r="17" spans="1:13" ht="23.25" customHeight="1">
      <c r="A17" s="148">
        <v>1</v>
      </c>
      <c r="B17" s="298" t="s">
        <v>214</v>
      </c>
      <c r="C17" s="148"/>
      <c r="D17" s="132"/>
      <c r="E17" s="134"/>
      <c r="F17" s="484"/>
      <c r="G17" s="633"/>
      <c r="H17" s="633"/>
      <c r="I17" s="132"/>
      <c r="J17" s="134"/>
      <c r="M17" s="295"/>
    </row>
    <row r="18" spans="1:13" ht="23.25" customHeight="1">
      <c r="A18" s="285" t="s">
        <v>337</v>
      </c>
      <c r="B18" s="291" t="s">
        <v>215</v>
      </c>
      <c r="C18" s="148" t="s">
        <v>350</v>
      </c>
      <c r="D18" s="134">
        <v>155</v>
      </c>
      <c r="E18" s="134">
        <f>D18</f>
        <v>155</v>
      </c>
      <c r="F18" s="484">
        <v>79.2</v>
      </c>
      <c r="G18" s="633">
        <v>162.9</v>
      </c>
      <c r="H18" s="631">
        <v>168</v>
      </c>
      <c r="I18" s="257">
        <f>G18/D18%</f>
        <v>105.09677419354838</v>
      </c>
      <c r="J18" s="326">
        <f>H18/G18%</f>
        <v>103.13075506445672</v>
      </c>
      <c r="M18" s="295"/>
    </row>
    <row r="19" spans="1:10" ht="23.25" customHeight="1">
      <c r="A19" s="285" t="s">
        <v>337</v>
      </c>
      <c r="B19" s="291" t="s">
        <v>216</v>
      </c>
      <c r="C19" s="148" t="s">
        <v>478</v>
      </c>
      <c r="D19" s="134">
        <v>26537</v>
      </c>
      <c r="E19" s="134">
        <f>D19</f>
        <v>26537</v>
      </c>
      <c r="F19" s="486">
        <v>13926</v>
      </c>
      <c r="G19" s="631">
        <v>28233</v>
      </c>
      <c r="H19" s="631">
        <v>30369</v>
      </c>
      <c r="I19" s="255">
        <f>G19/D19%</f>
        <v>106.3910766100162</v>
      </c>
      <c r="J19" s="326">
        <f>H19/G19%</f>
        <v>107.56561470619488</v>
      </c>
    </row>
    <row r="20" spans="1:10" ht="23.25" customHeight="1">
      <c r="A20" s="148">
        <v>2</v>
      </c>
      <c r="B20" s="291" t="s">
        <v>217</v>
      </c>
      <c r="C20" s="148"/>
      <c r="D20" s="134"/>
      <c r="E20" s="134"/>
      <c r="F20" s="486"/>
      <c r="G20" s="631"/>
      <c r="H20" s="631"/>
      <c r="I20" s="255"/>
      <c r="J20" s="326"/>
    </row>
    <row r="21" spans="1:10" ht="23.25" customHeight="1">
      <c r="A21" s="285" t="s">
        <v>337</v>
      </c>
      <c r="B21" s="291" t="s">
        <v>218</v>
      </c>
      <c r="C21" s="148" t="s">
        <v>351</v>
      </c>
      <c r="D21" s="134">
        <v>502</v>
      </c>
      <c r="E21" s="134">
        <f>D21</f>
        <v>502</v>
      </c>
      <c r="F21" s="484">
        <v>274.6</v>
      </c>
      <c r="G21" s="633">
        <v>530.5</v>
      </c>
      <c r="H21" s="631">
        <v>549</v>
      </c>
      <c r="I21" s="326">
        <f>G21/D21%</f>
        <v>105.6772908366534</v>
      </c>
      <c r="J21" s="326">
        <f>H21/G21%</f>
        <v>103.48727615457116</v>
      </c>
    </row>
    <row r="22" spans="1:10" ht="23.25" customHeight="1">
      <c r="A22" s="285" t="s">
        <v>337</v>
      </c>
      <c r="B22" s="291" t="s">
        <v>219</v>
      </c>
      <c r="C22" s="148" t="s">
        <v>352</v>
      </c>
      <c r="D22" s="134">
        <v>22150</v>
      </c>
      <c r="E22" s="134">
        <f>D22</f>
        <v>22150</v>
      </c>
      <c r="F22" s="486">
        <v>11783</v>
      </c>
      <c r="G22" s="631">
        <v>23245</v>
      </c>
      <c r="H22" s="631">
        <v>24636</v>
      </c>
      <c r="I22" s="326">
        <f>G22/D22%</f>
        <v>104.94356659142213</v>
      </c>
      <c r="J22" s="326">
        <f>H22/G22%</f>
        <v>105.98408259840826</v>
      </c>
    </row>
    <row r="23" spans="1:10" ht="18">
      <c r="A23" s="34"/>
      <c r="B23" s="35"/>
      <c r="C23" s="34"/>
      <c r="D23" s="35"/>
      <c r="E23" s="35"/>
      <c r="F23" s="35"/>
      <c r="G23" s="626"/>
      <c r="H23" s="626"/>
      <c r="I23" s="35"/>
      <c r="J23" s="35"/>
    </row>
    <row r="24" spans="1:10" ht="18">
      <c r="A24" s="34"/>
      <c r="B24" s="35"/>
      <c r="C24" s="34"/>
      <c r="D24" s="35"/>
      <c r="E24" s="35"/>
      <c r="F24" s="35"/>
      <c r="G24" s="626"/>
      <c r="H24" s="626"/>
      <c r="I24" s="35"/>
      <c r="J24" s="35"/>
    </row>
    <row r="25" spans="1:10" ht="18">
      <c r="A25" s="34"/>
      <c r="B25" s="35"/>
      <c r="C25" s="34"/>
      <c r="D25" s="35"/>
      <c r="E25" s="35"/>
      <c r="F25" s="35"/>
      <c r="G25" s="626"/>
      <c r="H25" s="626"/>
      <c r="I25" s="35"/>
      <c r="J25" s="35"/>
    </row>
    <row r="26" spans="1:10" ht="18">
      <c r="A26" s="34"/>
      <c r="B26" s="35"/>
      <c r="C26" s="34"/>
      <c r="D26" s="35"/>
      <c r="E26" s="35"/>
      <c r="F26" s="35"/>
      <c r="G26" s="626"/>
      <c r="H26" s="626"/>
      <c r="I26" s="35"/>
      <c r="J26" s="35"/>
    </row>
  </sheetData>
  <sheetProtection/>
  <mergeCells count="15">
    <mergeCell ref="A1:B1"/>
    <mergeCell ref="A5:A7"/>
    <mergeCell ref="B5:B7"/>
    <mergeCell ref="C5:C7"/>
    <mergeCell ref="A2:J2"/>
    <mergeCell ref="A3:J3"/>
    <mergeCell ref="D5:D7"/>
    <mergeCell ref="G6:G7"/>
    <mergeCell ref="E6:E7"/>
    <mergeCell ref="I6:I7"/>
    <mergeCell ref="J6:J7"/>
    <mergeCell ref="I5:J5"/>
    <mergeCell ref="E5:G5"/>
    <mergeCell ref="H5:H7"/>
    <mergeCell ref="F6:F7"/>
  </mergeCells>
  <printOptions/>
  <pageMargins left="0.5" right="0.25" top="0.56" bottom="0.58" header="0.5" footer="0.5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7"/>
  <sheetViews>
    <sheetView view="pageBreakPreview" zoomScale="85" zoomScaleSheetLayoutView="85" zoomScalePageLayoutView="0" workbookViewId="0" topLeftCell="A1">
      <pane ySplit="8" topLeftCell="A40" activePane="bottomLeft" state="frozen"/>
      <selection pane="topLeft" activeCell="A1" sqref="A1"/>
      <selection pane="bottomLeft" activeCell="G42" sqref="G42"/>
    </sheetView>
  </sheetViews>
  <sheetFormatPr defaultColWidth="9.140625" defaultRowHeight="12.75"/>
  <cols>
    <col min="1" max="1" width="4.7109375" style="19" customWidth="1"/>
    <col min="2" max="2" width="37.00390625" style="198" customWidth="1"/>
    <col min="3" max="3" width="10.8515625" style="19" customWidth="1"/>
    <col min="4" max="4" width="9.421875" style="19" customWidth="1"/>
    <col min="5" max="5" width="10.140625" style="28" customWidth="1"/>
    <col min="6" max="6" width="8.8515625" style="23" hidden="1" customWidth="1"/>
    <col min="7" max="7" width="10.00390625" style="23" customWidth="1"/>
    <col min="8" max="8" width="9.421875" style="338" customWidth="1"/>
    <col min="9" max="9" width="9.57421875" style="28" customWidth="1"/>
    <col min="10" max="10" width="8.140625" style="28" customWidth="1"/>
    <col min="11" max="11" width="8.8515625" style="28" customWidth="1"/>
    <col min="12" max="12" width="8.421875" style="28" customWidth="1"/>
    <col min="13" max="13" width="9.28125" style="28" customWidth="1"/>
    <col min="14" max="14" width="9.140625" style="28" customWidth="1"/>
    <col min="15" max="15" width="8.421875" style="28" customWidth="1"/>
    <col min="16" max="16" width="8.140625" style="28" customWidth="1"/>
    <col min="17" max="17" width="8.57421875" style="28" customWidth="1"/>
    <col min="18" max="18" width="8.140625" style="28" customWidth="1"/>
    <col min="19" max="19" width="8.421875" style="28" customWidth="1"/>
    <col min="20" max="20" width="8.140625" style="28" customWidth="1"/>
    <col min="21" max="21" width="8.28125" style="28" customWidth="1"/>
    <col min="22" max="22" width="16.7109375" style="19" customWidth="1"/>
    <col min="23" max="23" width="16.28125" style="19" customWidth="1"/>
    <col min="24" max="24" width="13.00390625" style="19" customWidth="1"/>
    <col min="25" max="16384" width="9.140625" style="19" customWidth="1"/>
  </cols>
  <sheetData>
    <row r="1" spans="1:23" s="21" customFormat="1" ht="16.5" customHeight="1">
      <c r="A1" s="18" t="s">
        <v>626</v>
      </c>
      <c r="B1" s="188"/>
      <c r="C1" s="52"/>
      <c r="D1" s="18"/>
      <c r="E1" s="37"/>
      <c r="F1" s="69"/>
      <c r="G1" s="69"/>
      <c r="H1" s="3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18"/>
      <c r="W1" s="18"/>
    </row>
    <row r="2" spans="1:23" s="22" customFormat="1" ht="19.5" customHeight="1">
      <c r="A2" s="743" t="s">
        <v>1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743"/>
      <c r="V2" s="743"/>
      <c r="W2" s="743"/>
    </row>
    <row r="3" spans="1:23" s="22" customFormat="1" ht="18.75" customHeight="1">
      <c r="A3" s="743" t="s">
        <v>648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743"/>
      <c r="R3" s="743"/>
      <c r="S3" s="743"/>
      <c r="T3" s="743"/>
      <c r="U3" s="743"/>
      <c r="V3" s="743"/>
      <c r="W3" s="743"/>
    </row>
    <row r="4" spans="1:23" s="22" customFormat="1" ht="20.25" customHeight="1">
      <c r="A4" s="744" t="str">
        <f>'BIEU 2 CONG NGHIEP'!A3:J3</f>
        <v>(Kèm theo Kế hoạch số:              /KH-UBND ngày     /    /2023 của UBND huyện Tủa Chùa)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4"/>
      <c r="W4" s="744"/>
    </row>
    <row r="5" spans="1:23" ht="16.5" customHeight="1">
      <c r="A5" s="745"/>
      <c r="B5" s="745"/>
      <c r="C5" s="745"/>
      <c r="D5" s="745"/>
      <c r="E5" s="745"/>
      <c r="F5" s="745"/>
      <c r="G5" s="745"/>
      <c r="H5" s="745"/>
      <c r="I5" s="745"/>
      <c r="J5" s="745"/>
      <c r="K5" s="745"/>
      <c r="L5" s="745"/>
      <c r="M5" s="745"/>
      <c r="N5" s="745"/>
      <c r="O5" s="745"/>
      <c r="P5" s="745"/>
      <c r="Q5" s="745"/>
      <c r="R5" s="745"/>
      <c r="S5" s="745"/>
      <c r="T5" s="745"/>
      <c r="U5" s="745"/>
      <c r="V5" s="745"/>
      <c r="W5" s="745"/>
    </row>
    <row r="6" spans="1:23" s="139" customFormat="1" ht="30.75" customHeight="1">
      <c r="A6" s="741" t="s">
        <v>277</v>
      </c>
      <c r="B6" s="718" t="s">
        <v>6</v>
      </c>
      <c r="C6" s="741" t="s">
        <v>0</v>
      </c>
      <c r="D6" s="741" t="s">
        <v>638</v>
      </c>
      <c r="E6" s="746" t="s">
        <v>639</v>
      </c>
      <c r="F6" s="746"/>
      <c r="G6" s="746"/>
      <c r="H6" s="746"/>
      <c r="I6" s="746" t="s">
        <v>640</v>
      </c>
      <c r="J6" s="746"/>
      <c r="K6" s="746"/>
      <c r="L6" s="746"/>
      <c r="M6" s="746"/>
      <c r="N6" s="746"/>
      <c r="O6" s="746"/>
      <c r="P6" s="746"/>
      <c r="Q6" s="746"/>
      <c r="R6" s="746"/>
      <c r="S6" s="746"/>
      <c r="T6" s="746"/>
      <c r="U6" s="746"/>
      <c r="V6" s="741" t="s">
        <v>2</v>
      </c>
      <c r="W6" s="741"/>
    </row>
    <row r="7" spans="1:23" s="139" customFormat="1" ht="17.25" customHeight="1">
      <c r="A7" s="742"/>
      <c r="B7" s="719"/>
      <c r="C7" s="741" t="s">
        <v>7</v>
      </c>
      <c r="D7" s="741"/>
      <c r="E7" s="741" t="s">
        <v>531</v>
      </c>
      <c r="F7" s="712" t="s">
        <v>354</v>
      </c>
      <c r="G7" s="712" t="s">
        <v>634</v>
      </c>
      <c r="H7" s="731" t="s">
        <v>353</v>
      </c>
      <c r="I7" s="741" t="s">
        <v>3</v>
      </c>
      <c r="J7" s="741" t="s">
        <v>183</v>
      </c>
      <c r="K7" s="741"/>
      <c r="L7" s="741"/>
      <c r="M7" s="741"/>
      <c r="N7" s="741"/>
      <c r="O7" s="741"/>
      <c r="P7" s="741"/>
      <c r="Q7" s="741"/>
      <c r="R7" s="741"/>
      <c r="S7" s="741"/>
      <c r="T7" s="741"/>
      <c r="U7" s="741"/>
      <c r="V7" s="712" t="s">
        <v>641</v>
      </c>
      <c r="W7" s="712" t="s">
        <v>642</v>
      </c>
    </row>
    <row r="8" spans="1:23" s="139" customFormat="1" ht="42" customHeight="1">
      <c r="A8" s="742"/>
      <c r="B8" s="720"/>
      <c r="C8" s="741"/>
      <c r="D8" s="741"/>
      <c r="E8" s="741"/>
      <c r="F8" s="713"/>
      <c r="G8" s="713"/>
      <c r="H8" s="731"/>
      <c r="I8" s="741"/>
      <c r="J8" s="26" t="s">
        <v>324</v>
      </c>
      <c r="K8" s="26" t="s">
        <v>481</v>
      </c>
      <c r="L8" s="26" t="s">
        <v>184</v>
      </c>
      <c r="M8" s="26" t="s">
        <v>629</v>
      </c>
      <c r="N8" s="26" t="s">
        <v>482</v>
      </c>
      <c r="O8" s="26" t="s">
        <v>483</v>
      </c>
      <c r="P8" s="26" t="s">
        <v>484</v>
      </c>
      <c r="Q8" s="26" t="s">
        <v>329</v>
      </c>
      <c r="R8" s="26" t="s">
        <v>574</v>
      </c>
      <c r="S8" s="26" t="s">
        <v>485</v>
      </c>
      <c r="T8" s="26" t="s">
        <v>332</v>
      </c>
      <c r="U8" s="26" t="s">
        <v>333</v>
      </c>
      <c r="V8" s="713"/>
      <c r="W8" s="713"/>
    </row>
    <row r="9" spans="1:24" s="143" customFormat="1" ht="24.75" customHeight="1">
      <c r="A9" s="144"/>
      <c r="B9" s="189" t="s">
        <v>8</v>
      </c>
      <c r="C9" s="144" t="s">
        <v>9</v>
      </c>
      <c r="D9" s="789">
        <f>D11+D12</f>
        <v>61599</v>
      </c>
      <c r="E9" s="488">
        <f>E11+E12</f>
        <v>62849</v>
      </c>
      <c r="F9" s="488">
        <f>F11+F12</f>
        <v>61599</v>
      </c>
      <c r="G9" s="488">
        <f>G11+G12</f>
        <v>62778</v>
      </c>
      <c r="H9" s="488">
        <f>H11+H12</f>
        <v>62778</v>
      </c>
      <c r="I9" s="266">
        <f>SUM(J9:U9)</f>
        <v>64033</v>
      </c>
      <c r="J9" s="266">
        <f>J11</f>
        <v>8689</v>
      </c>
      <c r="K9" s="266">
        <f>K12</f>
        <v>6055</v>
      </c>
      <c r="L9" s="266">
        <f aca="true" t="shared" si="0" ref="L9:U9">L12</f>
        <v>7549</v>
      </c>
      <c r="M9" s="266">
        <f t="shared" si="0"/>
        <v>4435</v>
      </c>
      <c r="N9" s="266">
        <f t="shared" si="0"/>
        <v>5935</v>
      </c>
      <c r="O9" s="266">
        <f t="shared" si="0"/>
        <v>7303</v>
      </c>
      <c r="P9" s="266">
        <f t="shared" si="0"/>
        <v>3754</v>
      </c>
      <c r="Q9" s="266">
        <f t="shared" si="0"/>
        <v>4255</v>
      </c>
      <c r="R9" s="266">
        <f t="shared" si="0"/>
        <v>3000</v>
      </c>
      <c r="S9" s="266">
        <f t="shared" si="0"/>
        <v>4512</v>
      </c>
      <c r="T9" s="266">
        <f t="shared" si="0"/>
        <v>5561</v>
      </c>
      <c r="U9" s="266">
        <f t="shared" si="0"/>
        <v>2985</v>
      </c>
      <c r="V9" s="234">
        <f>H9/D9*100</f>
        <v>101.91399211026153</v>
      </c>
      <c r="W9" s="488">
        <f>I9/H9*100</f>
        <v>101.99910796775941</v>
      </c>
      <c r="X9" s="276"/>
    </row>
    <row r="10" spans="1:24" s="140" customFormat="1" ht="24.75" customHeight="1">
      <c r="A10" s="145"/>
      <c r="B10" s="190" t="s">
        <v>224</v>
      </c>
      <c r="C10" s="146" t="s">
        <v>141</v>
      </c>
      <c r="D10" s="790">
        <v>30126</v>
      </c>
      <c r="E10" s="146">
        <v>30734</v>
      </c>
      <c r="F10" s="149">
        <v>29498</v>
      </c>
      <c r="G10" s="149">
        <v>30698</v>
      </c>
      <c r="H10" s="791">
        <f>G10</f>
        <v>30698</v>
      </c>
      <c r="I10" s="791">
        <f>SUM(J10:U10)</f>
        <v>31220</v>
      </c>
      <c r="J10" s="791">
        <v>4215</v>
      </c>
      <c r="K10" s="791">
        <v>2965</v>
      </c>
      <c r="L10" s="791">
        <v>3660</v>
      </c>
      <c r="M10" s="791">
        <v>2205</v>
      </c>
      <c r="N10" s="791">
        <v>2889</v>
      </c>
      <c r="O10" s="791">
        <v>3566</v>
      </c>
      <c r="P10" s="791">
        <v>1832</v>
      </c>
      <c r="Q10" s="791">
        <v>2060</v>
      </c>
      <c r="R10" s="791">
        <v>1467</v>
      </c>
      <c r="S10" s="791">
        <v>2182</v>
      </c>
      <c r="T10" s="791">
        <v>2725</v>
      </c>
      <c r="U10" s="791">
        <v>1454</v>
      </c>
      <c r="V10" s="267">
        <f>H10/D10*100</f>
        <v>101.89869215959637</v>
      </c>
      <c r="W10" s="267">
        <f>I10/H10*100</f>
        <v>101.70043651052185</v>
      </c>
      <c r="X10" s="141"/>
    </row>
    <row r="11" spans="1:27" s="140" customFormat="1" ht="24.75" customHeight="1">
      <c r="A11" s="148"/>
      <c r="B11" s="190" t="s">
        <v>225</v>
      </c>
      <c r="C11" s="148" t="s">
        <v>9</v>
      </c>
      <c r="D11" s="790">
        <v>8275</v>
      </c>
      <c r="E11" s="146">
        <v>8460</v>
      </c>
      <c r="F11" s="149">
        <v>8091</v>
      </c>
      <c r="G11" s="149">
        <v>8519</v>
      </c>
      <c r="H11" s="791">
        <f>G11</f>
        <v>8519</v>
      </c>
      <c r="I11" s="791">
        <f>SUM(J11:U11)</f>
        <v>8689</v>
      </c>
      <c r="J11" s="791">
        <v>8689</v>
      </c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152">
        <f>H11/D11*100</f>
        <v>102.94864048338368</v>
      </c>
      <c r="W11" s="146">
        <f>I11/H11*100</f>
        <v>101.99553938255663</v>
      </c>
      <c r="X11" s="141"/>
      <c r="AA11" s="277"/>
    </row>
    <row r="12" spans="1:27" s="140" customFormat="1" ht="24.75" customHeight="1">
      <c r="A12" s="148"/>
      <c r="B12" s="190" t="s">
        <v>10</v>
      </c>
      <c r="C12" s="148" t="s">
        <v>9</v>
      </c>
      <c r="D12" s="790">
        <v>53324</v>
      </c>
      <c r="E12" s="146">
        <v>54389</v>
      </c>
      <c r="F12" s="149">
        <f>F9-F11</f>
        <v>52225</v>
      </c>
      <c r="G12" s="149">
        <v>54259</v>
      </c>
      <c r="H12" s="791">
        <f>G12</f>
        <v>54259</v>
      </c>
      <c r="I12" s="791">
        <f>SUM(J12:U12)</f>
        <v>55344</v>
      </c>
      <c r="J12" s="318"/>
      <c r="K12" s="791">
        <v>6055</v>
      </c>
      <c r="L12" s="791">
        <v>7549</v>
      </c>
      <c r="M12" s="791">
        <v>4435</v>
      </c>
      <c r="N12" s="791">
        <v>5935</v>
      </c>
      <c r="O12" s="791">
        <v>7303</v>
      </c>
      <c r="P12" s="791">
        <v>3754</v>
      </c>
      <c r="Q12" s="791">
        <v>4255</v>
      </c>
      <c r="R12" s="791">
        <v>3000</v>
      </c>
      <c r="S12" s="791">
        <v>4512</v>
      </c>
      <c r="T12" s="791">
        <v>5561</v>
      </c>
      <c r="U12" s="791">
        <v>2985</v>
      </c>
      <c r="V12" s="152">
        <f>H12/D12*100</f>
        <v>101.75343185057386</v>
      </c>
      <c r="W12" s="146">
        <f>I12/H12*100</f>
        <v>101.99966825780055</v>
      </c>
      <c r="X12" s="141"/>
      <c r="AA12" s="277"/>
    </row>
    <row r="13" spans="1:24" s="142" customFormat="1" ht="24.75" customHeight="1">
      <c r="A13" s="145" t="s">
        <v>167</v>
      </c>
      <c r="B13" s="191" t="s">
        <v>11</v>
      </c>
      <c r="C13" s="150"/>
      <c r="D13" s="158"/>
      <c r="E13" s="151"/>
      <c r="F13" s="180"/>
      <c r="G13" s="180"/>
      <c r="H13" s="180"/>
      <c r="I13" s="149"/>
      <c r="J13" s="258"/>
      <c r="K13" s="258"/>
      <c r="L13" s="258"/>
      <c r="M13" s="258"/>
      <c r="N13" s="258"/>
      <c r="O13" s="258"/>
      <c r="P13" s="258"/>
      <c r="Q13" s="259"/>
      <c r="R13" s="258"/>
      <c r="S13" s="259"/>
      <c r="T13" s="258"/>
      <c r="U13" s="258"/>
      <c r="V13" s="154"/>
      <c r="W13" s="154"/>
      <c r="X13" s="141"/>
    </row>
    <row r="14" spans="1:25" s="140" customFormat="1" ht="36" customHeight="1">
      <c r="A14" s="148">
        <v>1</v>
      </c>
      <c r="B14" s="187" t="s">
        <v>491</v>
      </c>
      <c r="C14" s="148" t="s">
        <v>490</v>
      </c>
      <c r="D14" s="147">
        <v>36610</v>
      </c>
      <c r="E14" s="149">
        <v>37490</v>
      </c>
      <c r="F14" s="149">
        <v>35570</v>
      </c>
      <c r="G14" s="149">
        <v>37203</v>
      </c>
      <c r="H14" s="149">
        <f>E14</f>
        <v>37490</v>
      </c>
      <c r="I14" s="791">
        <f>SUM(J14:U14)</f>
        <v>38429</v>
      </c>
      <c r="J14" s="489">
        <v>6111</v>
      </c>
      <c r="K14" s="489">
        <v>3413</v>
      </c>
      <c r="L14" s="489">
        <v>4585</v>
      </c>
      <c r="M14" s="489">
        <v>2548</v>
      </c>
      <c r="N14" s="489">
        <v>3506</v>
      </c>
      <c r="O14" s="489">
        <v>4249</v>
      </c>
      <c r="P14" s="489">
        <v>2276</v>
      </c>
      <c r="Q14" s="489">
        <v>2423</v>
      </c>
      <c r="R14" s="489">
        <v>1678</v>
      </c>
      <c r="S14" s="489">
        <v>2627</v>
      </c>
      <c r="T14" s="489">
        <v>3207</v>
      </c>
      <c r="U14" s="489">
        <v>1806</v>
      </c>
      <c r="V14" s="267">
        <f>H14/D14*100</f>
        <v>102.40371483201312</v>
      </c>
      <c r="W14" s="267">
        <f>I14/H14*100</f>
        <v>102.50466791144306</v>
      </c>
      <c r="X14" s="141"/>
      <c r="Y14" s="141"/>
    </row>
    <row r="15" spans="1:24" s="140" customFormat="1" ht="24.75" customHeight="1">
      <c r="A15" s="148"/>
      <c r="B15" s="187" t="s">
        <v>12</v>
      </c>
      <c r="C15" s="148" t="s">
        <v>13</v>
      </c>
      <c r="D15" s="263">
        <f>D14/D9*100</f>
        <v>59.43278299972402</v>
      </c>
      <c r="E15" s="263">
        <f>E14/E9*100</f>
        <v>59.65090932234403</v>
      </c>
      <c r="F15" s="263">
        <f>F14/F9*100</f>
        <v>59.43278299972402</v>
      </c>
      <c r="G15" s="263">
        <f>G14/G9*100</f>
        <v>59.261206155022464</v>
      </c>
      <c r="H15" s="263">
        <f>H14/H9*100</f>
        <v>59.7183726783268</v>
      </c>
      <c r="I15" s="263">
        <f aca="true" t="shared" si="1" ref="I15:U15">I14/I9*100</f>
        <v>60.014367591710524</v>
      </c>
      <c r="J15" s="263">
        <f t="shared" si="1"/>
        <v>70.33030268155139</v>
      </c>
      <c r="K15" s="263">
        <f t="shared" si="1"/>
        <v>56.36663914120561</v>
      </c>
      <c r="L15" s="263">
        <f t="shared" si="1"/>
        <v>60.73652139356206</v>
      </c>
      <c r="M15" s="263">
        <f t="shared" si="1"/>
        <v>57.452085682074404</v>
      </c>
      <c r="N15" s="263">
        <f t="shared" si="1"/>
        <v>59.07329401853411</v>
      </c>
      <c r="O15" s="263">
        <f t="shared" si="1"/>
        <v>58.18156921812954</v>
      </c>
      <c r="P15" s="263">
        <f t="shared" si="1"/>
        <v>60.628662759722964</v>
      </c>
      <c r="Q15" s="263">
        <f t="shared" si="1"/>
        <v>56.94477085781433</v>
      </c>
      <c r="R15" s="263">
        <f t="shared" si="1"/>
        <v>55.93333333333334</v>
      </c>
      <c r="S15" s="263">
        <f t="shared" si="1"/>
        <v>58.222517730496456</v>
      </c>
      <c r="T15" s="263">
        <f t="shared" si="1"/>
        <v>57.669483905772346</v>
      </c>
      <c r="U15" s="260">
        <f t="shared" si="1"/>
        <v>60.50251256281407</v>
      </c>
      <c r="V15" s="152">
        <f>H15-D15</f>
        <v>0.2855896786027827</v>
      </c>
      <c r="W15" s="267">
        <f>I15-H15</f>
        <v>0.29599491338372275</v>
      </c>
      <c r="X15" s="278"/>
    </row>
    <row r="16" spans="1:24" s="347" customFormat="1" ht="24.75" customHeight="1">
      <c r="A16" s="148">
        <v>2</v>
      </c>
      <c r="B16" s="187" t="s">
        <v>14</v>
      </c>
      <c r="C16" s="148" t="s">
        <v>490</v>
      </c>
      <c r="D16" s="147">
        <f>D17+D18</f>
        <v>36610</v>
      </c>
      <c r="E16" s="147">
        <f>E17+E18</f>
        <v>37490</v>
      </c>
      <c r="F16" s="147">
        <f>F17+F18</f>
        <v>35570</v>
      </c>
      <c r="G16" s="147">
        <f>G17+G18</f>
        <v>37203</v>
      </c>
      <c r="H16" s="147">
        <f>E16</f>
        <v>37490</v>
      </c>
      <c r="I16" s="147">
        <f>I14</f>
        <v>38429</v>
      </c>
      <c r="J16" s="147">
        <f aca="true" t="shared" si="2" ref="J16:U16">J14</f>
        <v>6111</v>
      </c>
      <c r="K16" s="147">
        <f t="shared" si="2"/>
        <v>3413</v>
      </c>
      <c r="L16" s="147">
        <f t="shared" si="2"/>
        <v>4585</v>
      </c>
      <c r="M16" s="147">
        <f t="shared" si="2"/>
        <v>2548</v>
      </c>
      <c r="N16" s="147">
        <f t="shared" si="2"/>
        <v>3506</v>
      </c>
      <c r="O16" s="147">
        <f t="shared" si="2"/>
        <v>4249</v>
      </c>
      <c r="P16" s="147">
        <f t="shared" si="2"/>
        <v>2276</v>
      </c>
      <c r="Q16" s="147">
        <f t="shared" si="2"/>
        <v>2423</v>
      </c>
      <c r="R16" s="147">
        <f t="shared" si="2"/>
        <v>1678</v>
      </c>
      <c r="S16" s="147">
        <f t="shared" si="2"/>
        <v>2627</v>
      </c>
      <c r="T16" s="147">
        <f t="shared" si="2"/>
        <v>3207</v>
      </c>
      <c r="U16" s="147">
        <f t="shared" si="2"/>
        <v>1806</v>
      </c>
      <c r="V16" s="267">
        <f>H16/D16*100</f>
        <v>102.40371483201312</v>
      </c>
      <c r="W16" s="267">
        <f>I16/H16*100</f>
        <v>102.50466791144306</v>
      </c>
      <c r="X16" s="346"/>
    </row>
    <row r="17" spans="1:25" s="347" customFormat="1" ht="24.75" customHeight="1">
      <c r="A17" s="148"/>
      <c r="B17" s="187" t="s">
        <v>15</v>
      </c>
      <c r="C17" s="148" t="s">
        <v>490</v>
      </c>
      <c r="D17" s="147">
        <v>5760</v>
      </c>
      <c r="E17" s="149">
        <v>5931</v>
      </c>
      <c r="F17" s="149">
        <v>5647</v>
      </c>
      <c r="G17" s="149">
        <v>5836</v>
      </c>
      <c r="H17" s="149">
        <f>E17</f>
        <v>5931</v>
      </c>
      <c r="I17" s="149">
        <f>J17</f>
        <v>6111</v>
      </c>
      <c r="J17" s="149">
        <f>J16</f>
        <v>6111</v>
      </c>
      <c r="K17" s="792"/>
      <c r="L17" s="792"/>
      <c r="M17" s="792"/>
      <c r="N17" s="793"/>
      <c r="O17" s="792"/>
      <c r="P17" s="792"/>
      <c r="Q17" s="792"/>
      <c r="R17" s="792"/>
      <c r="S17" s="792"/>
      <c r="T17" s="792"/>
      <c r="U17" s="792"/>
      <c r="V17" s="152">
        <f>H17/D17*100</f>
        <v>102.96875000000001</v>
      </c>
      <c r="W17" s="152">
        <f>I17/H17*100</f>
        <v>103.03490136570561</v>
      </c>
      <c r="X17" s="346"/>
      <c r="Y17" s="346"/>
    </row>
    <row r="18" spans="1:25" s="347" customFormat="1" ht="24.75" customHeight="1">
      <c r="A18" s="148"/>
      <c r="B18" s="187" t="s">
        <v>16</v>
      </c>
      <c r="C18" s="148" t="s">
        <v>490</v>
      </c>
      <c r="D18" s="147">
        <f>D14-D17</f>
        <v>30850</v>
      </c>
      <c r="E18" s="147">
        <f>E14-E17</f>
        <v>31559</v>
      </c>
      <c r="F18" s="147">
        <f>F14-F17</f>
        <v>29923</v>
      </c>
      <c r="G18" s="147">
        <f>G14-G17</f>
        <v>31367</v>
      </c>
      <c r="H18" s="147">
        <f>E18</f>
        <v>31559</v>
      </c>
      <c r="I18" s="147">
        <f>SUM(K18:U18)</f>
        <v>32318</v>
      </c>
      <c r="J18" s="156"/>
      <c r="K18" s="147">
        <f>K16</f>
        <v>3413</v>
      </c>
      <c r="L18" s="147">
        <f aca="true" t="shared" si="3" ref="L18:U18">L16</f>
        <v>4585</v>
      </c>
      <c r="M18" s="147">
        <f t="shared" si="3"/>
        <v>2548</v>
      </c>
      <c r="N18" s="147">
        <f t="shared" si="3"/>
        <v>3506</v>
      </c>
      <c r="O18" s="147">
        <f t="shared" si="3"/>
        <v>4249</v>
      </c>
      <c r="P18" s="147">
        <f t="shared" si="3"/>
        <v>2276</v>
      </c>
      <c r="Q18" s="147">
        <f t="shared" si="3"/>
        <v>2423</v>
      </c>
      <c r="R18" s="147">
        <f t="shared" si="3"/>
        <v>1678</v>
      </c>
      <c r="S18" s="147">
        <f t="shared" si="3"/>
        <v>2627</v>
      </c>
      <c r="T18" s="147">
        <f t="shared" si="3"/>
        <v>3207</v>
      </c>
      <c r="U18" s="147">
        <f t="shared" si="3"/>
        <v>1806</v>
      </c>
      <c r="V18" s="267">
        <f>H18/D18*100</f>
        <v>102.29821717990275</v>
      </c>
      <c r="W18" s="152">
        <f>I18/H18*100</f>
        <v>102.40501917044267</v>
      </c>
      <c r="X18" s="346"/>
      <c r="Y18" s="346"/>
    </row>
    <row r="19" spans="1:24" s="140" customFormat="1" ht="21.75" customHeight="1">
      <c r="A19" s="148">
        <v>3</v>
      </c>
      <c r="B19" s="187" t="s">
        <v>619</v>
      </c>
      <c r="C19" s="148" t="s">
        <v>490</v>
      </c>
      <c r="D19" s="147">
        <v>35705</v>
      </c>
      <c r="E19" s="147">
        <v>36328</v>
      </c>
      <c r="F19" s="147">
        <v>35705</v>
      </c>
      <c r="G19" s="147">
        <v>36152</v>
      </c>
      <c r="H19" s="147">
        <v>36428</v>
      </c>
      <c r="I19" s="147">
        <f>SUM(J19:U19)</f>
        <v>37343</v>
      </c>
      <c r="J19" s="147">
        <v>5950</v>
      </c>
      <c r="K19" s="147">
        <v>3318</v>
      </c>
      <c r="L19" s="147">
        <v>4455</v>
      </c>
      <c r="M19" s="147">
        <v>2477</v>
      </c>
      <c r="N19" s="147">
        <v>3405</v>
      </c>
      <c r="O19" s="147">
        <v>4130</v>
      </c>
      <c r="P19" s="147">
        <v>2213</v>
      </c>
      <c r="Q19" s="147">
        <v>2357</v>
      </c>
      <c r="R19" s="147">
        <v>1620</v>
      </c>
      <c r="S19" s="147">
        <v>2550</v>
      </c>
      <c r="T19" s="147">
        <v>3118</v>
      </c>
      <c r="U19" s="147">
        <v>1750</v>
      </c>
      <c r="V19" s="152">
        <f>H19/D19*100</f>
        <v>102.02492648088504</v>
      </c>
      <c r="W19" s="267">
        <f>I19/H19*100</f>
        <v>102.51180410673109</v>
      </c>
      <c r="X19" s="141"/>
    </row>
    <row r="20" spans="1:24" s="347" customFormat="1" ht="24.75" customHeight="1">
      <c r="A20" s="148"/>
      <c r="B20" s="187" t="s">
        <v>17</v>
      </c>
      <c r="C20" s="148" t="s">
        <v>13</v>
      </c>
      <c r="D20" s="263">
        <f>D19/D14*100</f>
        <v>97.5279978148047</v>
      </c>
      <c r="E20" s="260">
        <f>E19/E14*100</f>
        <v>96.90050680181382</v>
      </c>
      <c r="F20" s="263">
        <f>F19/F14*100</f>
        <v>100.37953331459096</v>
      </c>
      <c r="G20" s="263">
        <f>G19/G14*100</f>
        <v>97.1749590086821</v>
      </c>
      <c r="H20" s="263">
        <f>H19/H14*100</f>
        <v>97.16724459855962</v>
      </c>
      <c r="I20" s="263">
        <f aca="true" t="shared" si="4" ref="I20:U20">I19/I14*100</f>
        <v>97.17400921179318</v>
      </c>
      <c r="J20" s="260">
        <f t="shared" si="4"/>
        <v>97.36540664375715</v>
      </c>
      <c r="K20" s="260">
        <f t="shared" si="4"/>
        <v>97.21652505127454</v>
      </c>
      <c r="L20" s="260">
        <f t="shared" si="4"/>
        <v>97.16466739367503</v>
      </c>
      <c r="M20" s="260">
        <f t="shared" si="4"/>
        <v>97.21350078492935</v>
      </c>
      <c r="N20" s="260">
        <f t="shared" si="4"/>
        <v>97.11922418710782</v>
      </c>
      <c r="O20" s="260">
        <f t="shared" si="4"/>
        <v>97.19934102141681</v>
      </c>
      <c r="P20" s="260">
        <f t="shared" si="4"/>
        <v>97.23198594024605</v>
      </c>
      <c r="Q20" s="260">
        <f t="shared" si="4"/>
        <v>97.27610400330168</v>
      </c>
      <c r="R20" s="260">
        <f t="shared" si="4"/>
        <v>96.5435041716329</v>
      </c>
      <c r="S20" s="260">
        <f t="shared" si="4"/>
        <v>97.0688998858013</v>
      </c>
      <c r="T20" s="260">
        <f t="shared" si="4"/>
        <v>97.22482070470845</v>
      </c>
      <c r="U20" s="260">
        <f t="shared" si="4"/>
        <v>96.89922480620154</v>
      </c>
      <c r="V20" s="152">
        <f>H20-D20</f>
        <v>-0.3607532162450866</v>
      </c>
      <c r="W20" s="152">
        <f>I20-H20</f>
        <v>0.006764613233556815</v>
      </c>
      <c r="X20" s="346"/>
    </row>
    <row r="21" spans="1:24" s="347" customFormat="1" ht="24.75" customHeight="1">
      <c r="A21" s="148"/>
      <c r="B21" s="187" t="s">
        <v>287</v>
      </c>
      <c r="C21" s="148" t="s">
        <v>490</v>
      </c>
      <c r="D21" s="147">
        <v>17353</v>
      </c>
      <c r="E21" s="147">
        <v>17655</v>
      </c>
      <c r="F21" s="147">
        <v>17352</v>
      </c>
      <c r="G21" s="147">
        <v>17570</v>
      </c>
      <c r="H21" s="147">
        <f>E21</f>
        <v>17655</v>
      </c>
      <c r="I21" s="147">
        <f>SUM(J21:U21)</f>
        <v>18148.697999999997</v>
      </c>
      <c r="J21" s="147">
        <f aca="true" t="shared" si="5" ref="J21:U21">J19*48.6%</f>
        <v>2891.7</v>
      </c>
      <c r="K21" s="147">
        <f t="shared" si="5"/>
        <v>1612.548</v>
      </c>
      <c r="L21" s="147">
        <f t="shared" si="5"/>
        <v>2165.13</v>
      </c>
      <c r="M21" s="147">
        <f t="shared" si="5"/>
        <v>1203.822</v>
      </c>
      <c r="N21" s="147">
        <f t="shared" si="5"/>
        <v>1654.83</v>
      </c>
      <c r="O21" s="147">
        <f t="shared" si="5"/>
        <v>2007.1799999999998</v>
      </c>
      <c r="P21" s="147">
        <f t="shared" si="5"/>
        <v>1075.518</v>
      </c>
      <c r="Q21" s="147">
        <f t="shared" si="5"/>
        <v>1145.502</v>
      </c>
      <c r="R21" s="147">
        <f t="shared" si="5"/>
        <v>787.3199999999999</v>
      </c>
      <c r="S21" s="147">
        <f t="shared" si="5"/>
        <v>1239.3</v>
      </c>
      <c r="T21" s="147">
        <f t="shared" si="5"/>
        <v>1515.348</v>
      </c>
      <c r="U21" s="147">
        <f t="shared" si="5"/>
        <v>850.5</v>
      </c>
      <c r="V21" s="152">
        <f>H21/D21*100</f>
        <v>101.74033308361668</v>
      </c>
      <c r="W21" s="152">
        <f>I21/H21*100</f>
        <v>102.79636363636362</v>
      </c>
      <c r="X21" s="346"/>
    </row>
    <row r="22" spans="1:24" s="347" customFormat="1" ht="33.75" customHeight="1">
      <c r="A22" s="148">
        <v>4</v>
      </c>
      <c r="B22" s="187" t="s">
        <v>492</v>
      </c>
      <c r="C22" s="148" t="s">
        <v>490</v>
      </c>
      <c r="D22" s="147">
        <v>35284</v>
      </c>
      <c r="E22" s="147">
        <v>35805</v>
      </c>
      <c r="F22" s="147">
        <v>34002</v>
      </c>
      <c r="G22" s="147">
        <v>35642</v>
      </c>
      <c r="H22" s="147">
        <v>35915</v>
      </c>
      <c r="I22" s="147">
        <f>SUM(J22:U22)</f>
        <v>36822</v>
      </c>
      <c r="J22" s="147">
        <v>5898</v>
      </c>
      <c r="K22" s="147">
        <v>3278</v>
      </c>
      <c r="L22" s="147">
        <v>4352</v>
      </c>
      <c r="M22" s="147">
        <v>2445</v>
      </c>
      <c r="N22" s="147">
        <v>3363</v>
      </c>
      <c r="O22" s="147">
        <v>4062</v>
      </c>
      <c r="P22" s="147">
        <v>2178</v>
      </c>
      <c r="Q22" s="147">
        <v>2327</v>
      </c>
      <c r="R22" s="147">
        <v>1595</v>
      </c>
      <c r="S22" s="147">
        <v>2515</v>
      </c>
      <c r="T22" s="147">
        <v>3083</v>
      </c>
      <c r="U22" s="147">
        <v>1726</v>
      </c>
      <c r="V22" s="152">
        <f>H22/D22*100</f>
        <v>101.78834599251785</v>
      </c>
      <c r="W22" s="152">
        <f>I22/H22*100</f>
        <v>102.52540721147152</v>
      </c>
      <c r="X22" s="346"/>
    </row>
    <row r="23" spans="1:24" s="347" customFormat="1" ht="24.75" customHeight="1">
      <c r="A23" s="148"/>
      <c r="B23" s="187" t="s">
        <v>493</v>
      </c>
      <c r="C23" s="153" t="s">
        <v>13</v>
      </c>
      <c r="D23" s="260">
        <f aca="true" t="shared" si="6" ref="D23:I23">D22/D19*100</f>
        <v>98.8208934322924</v>
      </c>
      <c r="E23" s="263">
        <f t="shared" si="6"/>
        <v>98.56033913234971</v>
      </c>
      <c r="F23" s="263">
        <f t="shared" si="6"/>
        <v>95.23035989357233</v>
      </c>
      <c r="G23" s="263">
        <f t="shared" si="6"/>
        <v>98.58928966585528</v>
      </c>
      <c r="H23" s="263">
        <f>H22/H19*100</f>
        <v>98.59174261557044</v>
      </c>
      <c r="I23" s="260">
        <f t="shared" si="6"/>
        <v>98.60482553624507</v>
      </c>
      <c r="J23" s="263">
        <f aca="true" t="shared" si="7" ref="J23:U23">J22/J19*100</f>
        <v>99.12605042016807</v>
      </c>
      <c r="K23" s="263">
        <f t="shared" si="7"/>
        <v>98.79445449065702</v>
      </c>
      <c r="L23" s="263">
        <f t="shared" si="7"/>
        <v>97.68799102132435</v>
      </c>
      <c r="M23" s="260">
        <f t="shared" si="7"/>
        <v>98.70811465482439</v>
      </c>
      <c r="N23" s="260">
        <f t="shared" si="7"/>
        <v>98.76651982378854</v>
      </c>
      <c r="O23" s="263">
        <f t="shared" si="7"/>
        <v>98.35351089588377</v>
      </c>
      <c r="P23" s="263">
        <f t="shared" si="7"/>
        <v>98.41843651152283</v>
      </c>
      <c r="Q23" s="260">
        <f t="shared" si="7"/>
        <v>98.72719558761138</v>
      </c>
      <c r="R23" s="263">
        <f t="shared" si="7"/>
        <v>98.4567901234568</v>
      </c>
      <c r="S23" s="263">
        <f t="shared" si="7"/>
        <v>98.62745098039215</v>
      </c>
      <c r="T23" s="263">
        <f t="shared" si="7"/>
        <v>98.87748556767158</v>
      </c>
      <c r="U23" s="263">
        <f t="shared" si="7"/>
        <v>98.62857142857143</v>
      </c>
      <c r="V23" s="152">
        <f>I23-D23</f>
        <v>-0.21606789604732057</v>
      </c>
      <c r="W23" s="152">
        <f>I23-H23</f>
        <v>0.013082920674634124</v>
      </c>
      <c r="X23" s="346"/>
    </row>
    <row r="24" spans="1:24" s="347" customFormat="1" ht="24.75" customHeight="1">
      <c r="A24" s="148"/>
      <c r="B24" s="187" t="s">
        <v>18</v>
      </c>
      <c r="C24" s="148" t="s">
        <v>490</v>
      </c>
      <c r="D24" s="147">
        <v>17148</v>
      </c>
      <c r="E24" s="149">
        <v>17401</v>
      </c>
      <c r="F24" s="149">
        <v>16525</v>
      </c>
      <c r="G24" s="149">
        <v>17322</v>
      </c>
      <c r="H24" s="149">
        <f>E24</f>
        <v>17401</v>
      </c>
      <c r="I24" s="147">
        <f>SUM(J24:U24)</f>
        <v>17895.492</v>
      </c>
      <c r="J24" s="489">
        <f aca="true" t="shared" si="8" ref="J24:U24">J22*48.6%</f>
        <v>2866.428</v>
      </c>
      <c r="K24" s="489">
        <f t="shared" si="8"/>
        <v>1593.108</v>
      </c>
      <c r="L24" s="489">
        <f t="shared" si="8"/>
        <v>2115.072</v>
      </c>
      <c r="M24" s="489">
        <f t="shared" si="8"/>
        <v>1188.27</v>
      </c>
      <c r="N24" s="489">
        <f t="shared" si="8"/>
        <v>1634.418</v>
      </c>
      <c r="O24" s="489">
        <f t="shared" si="8"/>
        <v>1974.132</v>
      </c>
      <c r="P24" s="489">
        <f t="shared" si="8"/>
        <v>1058.508</v>
      </c>
      <c r="Q24" s="489">
        <f t="shared" si="8"/>
        <v>1130.922</v>
      </c>
      <c r="R24" s="489">
        <f t="shared" si="8"/>
        <v>775.17</v>
      </c>
      <c r="S24" s="489">
        <f t="shared" si="8"/>
        <v>1222.29</v>
      </c>
      <c r="T24" s="489">
        <f t="shared" si="8"/>
        <v>1498.338</v>
      </c>
      <c r="U24" s="489">
        <f t="shared" si="8"/>
        <v>838.836</v>
      </c>
      <c r="V24" s="152">
        <f>H24/D24*100</f>
        <v>101.47539071611851</v>
      </c>
      <c r="W24" s="152">
        <f>I24/H24*100</f>
        <v>102.8417447273145</v>
      </c>
      <c r="X24" s="346"/>
    </row>
    <row r="25" spans="1:23" s="347" customFormat="1" ht="24.75" customHeight="1">
      <c r="A25" s="148" t="s">
        <v>169</v>
      </c>
      <c r="B25" s="187" t="s">
        <v>19</v>
      </c>
      <c r="C25" s="148" t="s">
        <v>490</v>
      </c>
      <c r="D25" s="147">
        <v>10485</v>
      </c>
      <c r="E25" s="147">
        <v>10772</v>
      </c>
      <c r="F25" s="147">
        <v>9532</v>
      </c>
      <c r="G25" s="147">
        <v>10747</v>
      </c>
      <c r="H25" s="147">
        <f>E25</f>
        <v>10772</v>
      </c>
      <c r="I25" s="147">
        <f>SUM(J25:U25)</f>
        <v>11118.4074</v>
      </c>
      <c r="J25" s="149">
        <f>J22*J26/100</f>
        <v>2293.1424</v>
      </c>
      <c r="K25" s="149">
        <f aca="true" t="shared" si="9" ref="K25:U25">K22*K26/100</f>
        <v>1022.7359999999999</v>
      </c>
      <c r="L25" s="149">
        <f t="shared" si="9"/>
        <v>1257.7279999999998</v>
      </c>
      <c r="M25" s="149">
        <f t="shared" si="9"/>
        <v>696.825</v>
      </c>
      <c r="N25" s="149">
        <f t="shared" si="9"/>
        <v>961.818</v>
      </c>
      <c r="O25" s="149">
        <f t="shared" si="9"/>
        <v>1173.918</v>
      </c>
      <c r="P25" s="149">
        <f t="shared" si="9"/>
        <v>620.73</v>
      </c>
      <c r="Q25" s="149">
        <f t="shared" si="9"/>
        <v>649.233</v>
      </c>
      <c r="R25" s="149">
        <f t="shared" si="9"/>
        <v>397.155</v>
      </c>
      <c r="S25" s="149">
        <f t="shared" si="9"/>
        <v>701.685</v>
      </c>
      <c r="T25" s="149">
        <f t="shared" si="9"/>
        <v>860.1569999999999</v>
      </c>
      <c r="U25" s="149">
        <f t="shared" si="9"/>
        <v>483.28</v>
      </c>
      <c r="V25" s="152">
        <f>H25/D25*100</f>
        <v>102.7372436814497</v>
      </c>
      <c r="W25" s="152">
        <f>I25/H25*100</f>
        <v>103.21581321945786</v>
      </c>
    </row>
    <row r="26" spans="1:23" s="348" customFormat="1" ht="32.25" customHeight="1">
      <c r="A26" s="153"/>
      <c r="B26" s="794" t="s">
        <v>494</v>
      </c>
      <c r="C26" s="148" t="s">
        <v>13</v>
      </c>
      <c r="D26" s="263">
        <f aca="true" t="shared" si="10" ref="D26:I26">D25/D22*100</f>
        <v>29.716018591996374</v>
      </c>
      <c r="E26" s="263">
        <f t="shared" si="10"/>
        <v>30.08518363357073</v>
      </c>
      <c r="F26" s="263">
        <f t="shared" si="10"/>
        <v>28.03364507970119</v>
      </c>
      <c r="G26" s="263">
        <f t="shared" si="10"/>
        <v>30.152628920935975</v>
      </c>
      <c r="H26" s="263">
        <f t="shared" si="10"/>
        <v>29.993039120144786</v>
      </c>
      <c r="I26" s="263">
        <f t="shared" si="10"/>
        <v>30.195012220954865</v>
      </c>
      <c r="J26" s="263">
        <v>38.88</v>
      </c>
      <c r="K26" s="260">
        <v>31.2</v>
      </c>
      <c r="L26" s="260">
        <v>28.9</v>
      </c>
      <c r="M26" s="260">
        <v>28.5</v>
      </c>
      <c r="N26" s="260">
        <v>28.6</v>
      </c>
      <c r="O26" s="260">
        <v>28.9</v>
      </c>
      <c r="P26" s="260">
        <v>28.5</v>
      </c>
      <c r="Q26" s="260">
        <v>27.9</v>
      </c>
      <c r="R26" s="260">
        <v>24.9</v>
      </c>
      <c r="S26" s="260">
        <v>27.9</v>
      </c>
      <c r="T26" s="260">
        <v>27.9</v>
      </c>
      <c r="U26" s="147">
        <v>28</v>
      </c>
      <c r="V26" s="152">
        <f>H26-D26</f>
        <v>0.2770205281484124</v>
      </c>
      <c r="W26" s="267">
        <f>I26-H26</f>
        <v>0.20197310081007913</v>
      </c>
    </row>
    <row r="27" spans="1:23" s="347" customFormat="1" ht="36.75" customHeight="1">
      <c r="A27" s="148" t="s">
        <v>170</v>
      </c>
      <c r="B27" s="187" t="s">
        <v>20</v>
      </c>
      <c r="C27" s="148" t="s">
        <v>490</v>
      </c>
      <c r="D27" s="147">
        <v>19787</v>
      </c>
      <c r="E27" s="147">
        <v>19959</v>
      </c>
      <c r="F27" s="147">
        <v>19811</v>
      </c>
      <c r="G27" s="147">
        <v>19717</v>
      </c>
      <c r="H27" s="147">
        <f>E27</f>
        <v>19959</v>
      </c>
      <c r="I27" s="147">
        <f>SUM(J27:U27)</f>
        <v>20348.805999999997</v>
      </c>
      <c r="J27" s="147">
        <f>J28*J22/100</f>
        <v>1964.0339999999999</v>
      </c>
      <c r="K27" s="147">
        <f aca="true" t="shared" si="11" ref="K27:U27">K28*K22/100</f>
        <v>1802.9</v>
      </c>
      <c r="L27" s="147">
        <f t="shared" si="11"/>
        <v>2402.304</v>
      </c>
      <c r="M27" s="147">
        <f t="shared" si="11"/>
        <v>1418.1</v>
      </c>
      <c r="N27" s="147">
        <f t="shared" si="11"/>
        <v>1984.17</v>
      </c>
      <c r="O27" s="147">
        <f t="shared" si="11"/>
        <v>2437.2</v>
      </c>
      <c r="P27" s="147">
        <f t="shared" si="11"/>
        <v>1328.58</v>
      </c>
      <c r="Q27" s="147">
        <f t="shared" si="11"/>
        <v>1475.318</v>
      </c>
      <c r="R27" s="147">
        <f t="shared" si="11"/>
        <v>1017.61</v>
      </c>
      <c r="S27" s="147">
        <f t="shared" si="11"/>
        <v>1554.27</v>
      </c>
      <c r="T27" s="147">
        <f t="shared" si="11"/>
        <v>1911.46</v>
      </c>
      <c r="U27" s="147">
        <f t="shared" si="11"/>
        <v>1052.86</v>
      </c>
      <c r="V27" s="152">
        <f>H27/D27*100</f>
        <v>100.86925759336938</v>
      </c>
      <c r="W27" s="152">
        <f>I27/H27*100</f>
        <v>101.95303371912419</v>
      </c>
    </row>
    <row r="28" spans="1:23" s="348" customFormat="1" ht="33" customHeight="1">
      <c r="A28" s="153"/>
      <c r="B28" s="794" t="s">
        <v>494</v>
      </c>
      <c r="C28" s="148" t="s">
        <v>13</v>
      </c>
      <c r="D28" s="263">
        <f aca="true" t="shared" si="12" ref="D28:I28">D27/D22*100</f>
        <v>56.079242716245325</v>
      </c>
      <c r="E28" s="263">
        <f t="shared" si="12"/>
        <v>55.74361122748219</v>
      </c>
      <c r="F28" s="263">
        <f t="shared" si="12"/>
        <v>58.26421975177931</v>
      </c>
      <c r="G28" s="263">
        <f t="shared" si="12"/>
        <v>55.319566803209696</v>
      </c>
      <c r="H28" s="263">
        <f t="shared" si="12"/>
        <v>55.57288041208409</v>
      </c>
      <c r="I28" s="263">
        <f t="shared" si="12"/>
        <v>55.26263103579381</v>
      </c>
      <c r="J28" s="260">
        <v>33.3</v>
      </c>
      <c r="K28" s="147">
        <v>55</v>
      </c>
      <c r="L28" s="260">
        <v>55.2</v>
      </c>
      <c r="M28" s="147">
        <v>58</v>
      </c>
      <c r="N28" s="147">
        <v>59</v>
      </c>
      <c r="O28" s="147">
        <v>60</v>
      </c>
      <c r="P28" s="147">
        <v>61</v>
      </c>
      <c r="Q28" s="260">
        <v>63.4</v>
      </c>
      <c r="R28" s="260">
        <v>63.8</v>
      </c>
      <c r="S28" s="260">
        <v>61.8</v>
      </c>
      <c r="T28" s="147">
        <v>62</v>
      </c>
      <c r="U28" s="147">
        <v>61</v>
      </c>
      <c r="V28" s="152">
        <f>H28-D28</f>
        <v>-0.506362304161236</v>
      </c>
      <c r="W28" s="152">
        <f>I28-H28</f>
        <v>-0.3102493762902796</v>
      </c>
    </row>
    <row r="29" spans="1:23" s="347" customFormat="1" ht="24.75" customHeight="1">
      <c r="A29" s="795" t="s">
        <v>171</v>
      </c>
      <c r="B29" s="187" t="s">
        <v>21</v>
      </c>
      <c r="C29" s="148" t="s">
        <v>490</v>
      </c>
      <c r="D29" s="147">
        <f>D22-D25-D27</f>
        <v>5012</v>
      </c>
      <c r="E29" s="147">
        <f>E22-E25-E27</f>
        <v>5074</v>
      </c>
      <c r="F29" s="147">
        <f>F22-F25-F27</f>
        <v>4659</v>
      </c>
      <c r="G29" s="147">
        <f>G22-G25-G27</f>
        <v>5178</v>
      </c>
      <c r="H29" s="147">
        <f>H22-H25-H27</f>
        <v>5184</v>
      </c>
      <c r="I29" s="147">
        <f aca="true" t="shared" si="13" ref="I29:U29">I22-I25-I27</f>
        <v>5354.786600000003</v>
      </c>
      <c r="J29" s="147">
        <f t="shared" si="13"/>
        <v>1640.8236</v>
      </c>
      <c r="K29" s="147">
        <f t="shared" si="13"/>
        <v>452.36400000000003</v>
      </c>
      <c r="L29" s="147">
        <f t="shared" si="13"/>
        <v>691.9679999999998</v>
      </c>
      <c r="M29" s="147">
        <f t="shared" si="13"/>
        <v>330.07500000000005</v>
      </c>
      <c r="N29" s="147">
        <f t="shared" si="13"/>
        <v>417.0119999999997</v>
      </c>
      <c r="O29" s="147">
        <f t="shared" si="13"/>
        <v>450.8820000000005</v>
      </c>
      <c r="P29" s="147">
        <f t="shared" si="13"/>
        <v>228.69000000000005</v>
      </c>
      <c r="Q29" s="147">
        <f t="shared" si="13"/>
        <v>202.44900000000007</v>
      </c>
      <c r="R29" s="147">
        <f t="shared" si="13"/>
        <v>180.235</v>
      </c>
      <c r="S29" s="147">
        <f t="shared" si="13"/>
        <v>259.0450000000001</v>
      </c>
      <c r="T29" s="147">
        <f t="shared" si="13"/>
        <v>311.3829999999998</v>
      </c>
      <c r="U29" s="147">
        <f t="shared" si="13"/>
        <v>189.86000000000013</v>
      </c>
      <c r="V29" s="152">
        <f>H29/D29*100</f>
        <v>103.4317637669593</v>
      </c>
      <c r="W29" s="152">
        <f>I29/H29*100</f>
        <v>103.2944945987655</v>
      </c>
    </row>
    <row r="30" spans="1:23" s="347" customFormat="1" ht="32.25" customHeight="1">
      <c r="A30" s="795"/>
      <c r="B30" s="794" t="s">
        <v>494</v>
      </c>
      <c r="C30" s="148" t="s">
        <v>13</v>
      </c>
      <c r="D30" s="260">
        <f>D29/D22*100</f>
        <v>14.204738691758303</v>
      </c>
      <c r="E30" s="263">
        <f>E29/E22*100</f>
        <v>14.171205138947073</v>
      </c>
      <c r="F30" s="263">
        <f>F29/F22*100</f>
        <v>13.702135168519499</v>
      </c>
      <c r="G30" s="263">
        <f>G29/G22*100</f>
        <v>14.527804275854328</v>
      </c>
      <c r="H30" s="263">
        <f>H29/H22*100</f>
        <v>14.434080467771127</v>
      </c>
      <c r="I30" s="263">
        <f aca="true" t="shared" si="14" ref="I30:U30">I29/I22*100</f>
        <v>14.542356743251325</v>
      </c>
      <c r="J30" s="263">
        <f t="shared" si="14"/>
        <v>27.82</v>
      </c>
      <c r="K30" s="260">
        <f t="shared" si="14"/>
        <v>13.8</v>
      </c>
      <c r="L30" s="260">
        <f t="shared" si="14"/>
        <v>15.899999999999997</v>
      </c>
      <c r="M30" s="260">
        <f t="shared" si="14"/>
        <v>13.5</v>
      </c>
      <c r="N30" s="260">
        <f t="shared" si="14"/>
        <v>12.399999999999991</v>
      </c>
      <c r="O30" s="260">
        <f t="shared" si="14"/>
        <v>11.100000000000012</v>
      </c>
      <c r="P30" s="260">
        <f t="shared" si="14"/>
        <v>10.500000000000002</v>
      </c>
      <c r="Q30" s="260">
        <f t="shared" si="14"/>
        <v>8.700000000000003</v>
      </c>
      <c r="R30" s="260">
        <f t="shared" si="14"/>
        <v>11.3</v>
      </c>
      <c r="S30" s="260">
        <f t="shared" si="14"/>
        <v>10.300000000000002</v>
      </c>
      <c r="T30" s="260">
        <f t="shared" si="14"/>
        <v>10.099999999999994</v>
      </c>
      <c r="U30" s="147">
        <f t="shared" si="14"/>
        <v>11.000000000000007</v>
      </c>
      <c r="V30" s="152">
        <f>H30-D30</f>
        <v>0.22934177601282357</v>
      </c>
      <c r="W30" s="152">
        <f>I30-H30</f>
        <v>0.10827627548019869</v>
      </c>
    </row>
    <row r="31" spans="1:23" s="347" customFormat="1" ht="24.75" customHeight="1">
      <c r="A31" s="148">
        <v>5</v>
      </c>
      <c r="B31" s="796" t="s">
        <v>575</v>
      </c>
      <c r="C31" s="148" t="s">
        <v>490</v>
      </c>
      <c r="D31" s="147">
        <v>11696</v>
      </c>
      <c r="E31" s="147">
        <v>11964</v>
      </c>
      <c r="F31" s="147">
        <f>F22-F25-F27</f>
        <v>4659</v>
      </c>
      <c r="G31" s="147">
        <v>11680</v>
      </c>
      <c r="H31" s="147">
        <f>E31</f>
        <v>11964</v>
      </c>
      <c r="I31" s="147">
        <f>SUM(J31:U31)</f>
        <v>12269</v>
      </c>
      <c r="J31" s="147">
        <v>5115</v>
      </c>
      <c r="K31" s="147">
        <v>896</v>
      </c>
      <c r="L31" s="147">
        <v>1030</v>
      </c>
      <c r="M31" s="147">
        <v>675</v>
      </c>
      <c r="N31" s="147">
        <v>697</v>
      </c>
      <c r="O31" s="147">
        <v>944</v>
      </c>
      <c r="P31" s="147">
        <v>669</v>
      </c>
      <c r="Q31" s="147">
        <v>457</v>
      </c>
      <c r="R31" s="147">
        <v>235</v>
      </c>
      <c r="S31" s="147">
        <v>537</v>
      </c>
      <c r="T31" s="147">
        <v>583</v>
      </c>
      <c r="U31" s="147">
        <v>431</v>
      </c>
      <c r="V31" s="152">
        <f>H31/D31*100</f>
        <v>102.29138166894664</v>
      </c>
      <c r="W31" s="152">
        <f>I31/H31*100</f>
        <v>102.54931461049817</v>
      </c>
    </row>
    <row r="32" spans="1:23" s="347" customFormat="1" ht="31.5" customHeight="1">
      <c r="A32" s="148"/>
      <c r="B32" s="796" t="s">
        <v>562</v>
      </c>
      <c r="C32" s="267" t="s">
        <v>13</v>
      </c>
      <c r="D32" s="263">
        <f>D31/D19*100</f>
        <v>32.75731690239462</v>
      </c>
      <c r="E32" s="263">
        <f>E31/E19*100</f>
        <v>32.933274609116935</v>
      </c>
      <c r="F32" s="263">
        <f>F31/F19*100</f>
        <v>13.048592634084862</v>
      </c>
      <c r="G32" s="263">
        <f>G31/G19*100</f>
        <v>32.30803275060854</v>
      </c>
      <c r="H32" s="263">
        <f aca="true" t="shared" si="15" ref="H32:U32">H31/H19*100</f>
        <v>32.84286812342154</v>
      </c>
      <c r="I32" s="263">
        <f t="shared" si="15"/>
        <v>32.85488578850119</v>
      </c>
      <c r="J32" s="263">
        <f t="shared" si="15"/>
        <v>85.96638655462185</v>
      </c>
      <c r="K32" s="147">
        <f t="shared" si="15"/>
        <v>27.004219409282697</v>
      </c>
      <c r="L32" s="263">
        <f t="shared" si="15"/>
        <v>23.120089786756452</v>
      </c>
      <c r="M32" s="263">
        <f t="shared" si="15"/>
        <v>27.250706499798145</v>
      </c>
      <c r="N32" s="263">
        <f t="shared" si="15"/>
        <v>20.469897209985316</v>
      </c>
      <c r="O32" s="263">
        <f t="shared" si="15"/>
        <v>22.857142857142858</v>
      </c>
      <c r="P32" s="263">
        <f t="shared" si="15"/>
        <v>30.230456394035247</v>
      </c>
      <c r="Q32" s="260">
        <f t="shared" si="15"/>
        <v>19.38905388205346</v>
      </c>
      <c r="R32" s="263">
        <f t="shared" si="15"/>
        <v>14.506172839506174</v>
      </c>
      <c r="S32" s="263">
        <f t="shared" si="15"/>
        <v>21.058823529411764</v>
      </c>
      <c r="T32" s="263">
        <f t="shared" si="15"/>
        <v>18.697883258499036</v>
      </c>
      <c r="U32" s="263">
        <f t="shared" si="15"/>
        <v>24.628571428571426</v>
      </c>
      <c r="V32" s="152">
        <f>H32-D32</f>
        <v>0.08555122102691826</v>
      </c>
      <c r="W32" s="152">
        <f>I32-H32</f>
        <v>0.012017665079653739</v>
      </c>
    </row>
    <row r="33" spans="1:23" s="347" customFormat="1" ht="33.75" customHeight="1">
      <c r="A33" s="148">
        <v>6</v>
      </c>
      <c r="B33" s="187" t="s">
        <v>649</v>
      </c>
      <c r="C33" s="148" t="s">
        <v>490</v>
      </c>
      <c r="D33" s="147">
        <v>800</v>
      </c>
      <c r="E33" s="147">
        <v>800</v>
      </c>
      <c r="F33" s="147">
        <v>330</v>
      </c>
      <c r="G33" s="147">
        <v>390</v>
      </c>
      <c r="H33" s="147">
        <f>E33</f>
        <v>800</v>
      </c>
      <c r="I33" s="147">
        <f>SUM(J33:U33)</f>
        <v>800</v>
      </c>
      <c r="J33" s="147">
        <v>125</v>
      </c>
      <c r="K33" s="147">
        <v>85</v>
      </c>
      <c r="L33" s="147">
        <v>95</v>
      </c>
      <c r="M33" s="147">
        <v>62</v>
      </c>
      <c r="N33" s="147">
        <v>65</v>
      </c>
      <c r="O33" s="147">
        <v>82</v>
      </c>
      <c r="P33" s="147">
        <v>56</v>
      </c>
      <c r="Q33" s="147">
        <v>60</v>
      </c>
      <c r="R33" s="147">
        <v>32</v>
      </c>
      <c r="S33" s="147">
        <v>46</v>
      </c>
      <c r="T33" s="147">
        <v>52</v>
      </c>
      <c r="U33" s="147">
        <v>40</v>
      </c>
      <c r="V33" s="146">
        <f>H33/D33*100</f>
        <v>100</v>
      </c>
      <c r="W33" s="146">
        <f>I33/H33*100</f>
        <v>100</v>
      </c>
    </row>
    <row r="34" spans="1:23" s="347" customFormat="1" ht="37.5" customHeight="1">
      <c r="A34" s="148"/>
      <c r="B34" s="187" t="s">
        <v>536</v>
      </c>
      <c r="C34" s="148" t="s">
        <v>490</v>
      </c>
      <c r="D34" s="147">
        <v>100</v>
      </c>
      <c r="E34" s="147">
        <v>100</v>
      </c>
      <c r="F34" s="147">
        <v>43</v>
      </c>
      <c r="G34" s="147">
        <v>60</v>
      </c>
      <c r="H34" s="147">
        <f>E34</f>
        <v>100</v>
      </c>
      <c r="I34" s="147">
        <f>SUM(J34:U34)</f>
        <v>100</v>
      </c>
      <c r="J34" s="147">
        <v>25</v>
      </c>
      <c r="K34" s="147">
        <v>12</v>
      </c>
      <c r="L34" s="147">
        <v>10</v>
      </c>
      <c r="M34" s="147">
        <v>5</v>
      </c>
      <c r="N34" s="147">
        <v>5</v>
      </c>
      <c r="O34" s="147">
        <v>10</v>
      </c>
      <c r="P34" s="147">
        <v>5</v>
      </c>
      <c r="Q34" s="147">
        <v>6</v>
      </c>
      <c r="R34" s="147">
        <v>3</v>
      </c>
      <c r="S34" s="147">
        <v>6</v>
      </c>
      <c r="T34" s="147">
        <v>8</v>
      </c>
      <c r="U34" s="147">
        <v>5</v>
      </c>
      <c r="V34" s="146">
        <f>H34/D34*100</f>
        <v>100</v>
      </c>
      <c r="W34" s="146">
        <f>I34/H34*100</f>
        <v>100</v>
      </c>
    </row>
    <row r="35" spans="1:23" s="347" customFormat="1" ht="33" customHeight="1">
      <c r="A35" s="148"/>
      <c r="B35" s="187" t="s">
        <v>537</v>
      </c>
      <c r="C35" s="148" t="s">
        <v>490</v>
      </c>
      <c r="D35" s="147">
        <v>1</v>
      </c>
      <c r="E35" s="157">
        <v>5</v>
      </c>
      <c r="F35" s="147">
        <v>1</v>
      </c>
      <c r="G35" s="147">
        <v>1</v>
      </c>
      <c r="H35" s="157">
        <f>E35</f>
        <v>5</v>
      </c>
      <c r="I35" s="147">
        <f>SUM(J35:U35)</f>
        <v>5</v>
      </c>
      <c r="J35" s="157">
        <v>2</v>
      </c>
      <c r="K35" s="147">
        <v>1</v>
      </c>
      <c r="L35" s="157"/>
      <c r="M35" s="157">
        <v>1</v>
      </c>
      <c r="N35" s="157"/>
      <c r="O35" s="157"/>
      <c r="P35" s="157"/>
      <c r="Q35" s="157"/>
      <c r="R35" s="157"/>
      <c r="S35" s="157"/>
      <c r="T35" s="157">
        <v>1</v>
      </c>
      <c r="U35" s="157"/>
      <c r="V35" s="146">
        <f>H35/D35*100</f>
        <v>500</v>
      </c>
      <c r="W35" s="146">
        <f>I35/H35*100</f>
        <v>100</v>
      </c>
    </row>
    <row r="36" spans="1:23" s="347" customFormat="1" ht="26.25" customHeight="1">
      <c r="A36" s="148">
        <v>7</v>
      </c>
      <c r="B36" s="187" t="s">
        <v>23</v>
      </c>
      <c r="C36" s="148" t="s">
        <v>13</v>
      </c>
      <c r="D36" s="157">
        <v>1.6</v>
      </c>
      <c r="E36" s="797">
        <v>1.5</v>
      </c>
      <c r="F36" s="797">
        <v>2.2</v>
      </c>
      <c r="G36" s="797">
        <v>1.5</v>
      </c>
      <c r="H36" s="797">
        <f>G36</f>
        <v>1.5</v>
      </c>
      <c r="I36" s="797">
        <v>1.4</v>
      </c>
      <c r="J36" s="157">
        <v>1.4</v>
      </c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267">
        <f>H36-D36</f>
        <v>-0.10000000000000009</v>
      </c>
      <c r="W36" s="267">
        <f>I36-H36</f>
        <v>-0.10000000000000009</v>
      </c>
    </row>
    <row r="37" spans="1:23" s="142" customFormat="1" ht="24.75" customHeight="1">
      <c r="A37" s="145" t="s">
        <v>172</v>
      </c>
      <c r="B37" s="191" t="s">
        <v>24</v>
      </c>
      <c r="C37" s="145"/>
      <c r="D37" s="158"/>
      <c r="E37" s="158"/>
      <c r="F37" s="158"/>
      <c r="G37" s="158"/>
      <c r="H37" s="158"/>
      <c r="I37" s="266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234"/>
      <c r="W37" s="234"/>
    </row>
    <row r="38" spans="1:23" s="347" customFormat="1" ht="34.5" customHeight="1">
      <c r="A38" s="148">
        <v>1</v>
      </c>
      <c r="B38" s="187" t="s">
        <v>315</v>
      </c>
      <c r="C38" s="148" t="s">
        <v>25</v>
      </c>
      <c r="D38" s="791">
        <v>1077</v>
      </c>
      <c r="E38" s="791">
        <v>890</v>
      </c>
      <c r="F38" s="791">
        <v>317</v>
      </c>
      <c r="G38" s="791">
        <v>947</v>
      </c>
      <c r="H38" s="791">
        <v>1060</v>
      </c>
      <c r="I38" s="791">
        <f>SUM(J38:U38)</f>
        <v>1060</v>
      </c>
      <c r="J38" s="791">
        <v>119</v>
      </c>
      <c r="K38" s="791">
        <v>86</v>
      </c>
      <c r="L38" s="791">
        <v>162</v>
      </c>
      <c r="M38" s="791">
        <v>76</v>
      </c>
      <c r="N38" s="791">
        <v>78</v>
      </c>
      <c r="O38" s="791">
        <v>98</v>
      </c>
      <c r="P38" s="791">
        <v>69</v>
      </c>
      <c r="Q38" s="791">
        <v>74</v>
      </c>
      <c r="R38" s="791">
        <v>68</v>
      </c>
      <c r="S38" s="791">
        <v>66</v>
      </c>
      <c r="T38" s="791">
        <v>99</v>
      </c>
      <c r="U38" s="791">
        <v>65</v>
      </c>
      <c r="V38" s="146">
        <f>H38/D38*100</f>
        <v>98.42154131847725</v>
      </c>
      <c r="W38" s="152">
        <f>I38/H38*100</f>
        <v>100</v>
      </c>
    </row>
    <row r="39" spans="1:23" s="347" customFormat="1" ht="47.25" customHeight="1">
      <c r="A39" s="148">
        <v>2</v>
      </c>
      <c r="B39" s="187" t="s">
        <v>576</v>
      </c>
      <c r="C39" s="148" t="s">
        <v>25</v>
      </c>
      <c r="D39" s="791">
        <v>438</v>
      </c>
      <c r="E39" s="791">
        <v>398</v>
      </c>
      <c r="F39" s="791">
        <v>319</v>
      </c>
      <c r="G39" s="791">
        <v>430</v>
      </c>
      <c r="H39" s="791">
        <v>448</v>
      </c>
      <c r="I39" s="791">
        <f>SUM(J39:U39)</f>
        <v>448</v>
      </c>
      <c r="J39" s="791">
        <v>68</v>
      </c>
      <c r="K39" s="791">
        <v>32</v>
      </c>
      <c r="L39" s="791">
        <v>102</v>
      </c>
      <c r="M39" s="791">
        <v>20</v>
      </c>
      <c r="N39" s="791">
        <v>23</v>
      </c>
      <c r="O39" s="791">
        <v>50</v>
      </c>
      <c r="P39" s="791">
        <v>13</v>
      </c>
      <c r="Q39" s="791">
        <v>13</v>
      </c>
      <c r="R39" s="791">
        <v>11</v>
      </c>
      <c r="S39" s="791">
        <v>45</v>
      </c>
      <c r="T39" s="791">
        <v>53</v>
      </c>
      <c r="U39" s="791">
        <v>18</v>
      </c>
      <c r="V39" s="146">
        <f>H39/D39*100</f>
        <v>102.28310502283105</v>
      </c>
      <c r="W39" s="152">
        <f>I39/H39*100</f>
        <v>100</v>
      </c>
    </row>
    <row r="40" spans="1:24" s="347" customFormat="1" ht="32.25" customHeight="1">
      <c r="A40" s="148">
        <v>3</v>
      </c>
      <c r="B40" s="187" t="s">
        <v>495</v>
      </c>
      <c r="C40" s="148" t="s">
        <v>496</v>
      </c>
      <c r="D40" s="791">
        <v>8</v>
      </c>
      <c r="E40" s="791">
        <v>8</v>
      </c>
      <c r="F40" s="791">
        <v>7</v>
      </c>
      <c r="G40" s="791">
        <v>9</v>
      </c>
      <c r="H40" s="791">
        <v>9</v>
      </c>
      <c r="I40" s="791">
        <f>SUM(J40:U40)</f>
        <v>9</v>
      </c>
      <c r="J40" s="791">
        <v>1</v>
      </c>
      <c r="K40" s="791">
        <v>1</v>
      </c>
      <c r="L40" s="791"/>
      <c r="M40" s="791">
        <v>1</v>
      </c>
      <c r="N40" s="791">
        <v>1</v>
      </c>
      <c r="O40" s="791"/>
      <c r="P40" s="791">
        <v>1</v>
      </c>
      <c r="Q40" s="791">
        <v>1</v>
      </c>
      <c r="R40" s="791"/>
      <c r="S40" s="791">
        <v>1</v>
      </c>
      <c r="T40" s="791">
        <v>1</v>
      </c>
      <c r="U40" s="791">
        <v>1</v>
      </c>
      <c r="V40" s="146">
        <f>H40/D40*100</f>
        <v>112.5</v>
      </c>
      <c r="W40" s="267">
        <f>I40/H40*100</f>
        <v>100</v>
      </c>
      <c r="X40" s="349"/>
    </row>
    <row r="41" spans="1:24" s="347" customFormat="1" ht="32.25" customHeight="1">
      <c r="A41" s="148"/>
      <c r="B41" s="798" t="s">
        <v>355</v>
      </c>
      <c r="C41" s="148" t="s">
        <v>13</v>
      </c>
      <c r="D41" s="799">
        <f aca="true" t="shared" si="16" ref="D41:I41">D40/12*100</f>
        <v>66.66666666666666</v>
      </c>
      <c r="E41" s="799">
        <f t="shared" si="16"/>
        <v>66.66666666666666</v>
      </c>
      <c r="F41" s="799">
        <f t="shared" si="16"/>
        <v>58.333333333333336</v>
      </c>
      <c r="G41" s="800">
        <f t="shared" si="16"/>
        <v>75</v>
      </c>
      <c r="H41" s="800">
        <f t="shared" si="16"/>
        <v>75</v>
      </c>
      <c r="I41" s="800">
        <f t="shared" si="16"/>
        <v>75</v>
      </c>
      <c r="J41" s="800">
        <v>100</v>
      </c>
      <c r="K41" s="800">
        <v>100</v>
      </c>
      <c r="L41" s="800"/>
      <c r="M41" s="800">
        <v>100</v>
      </c>
      <c r="N41" s="800">
        <v>100</v>
      </c>
      <c r="O41" s="800"/>
      <c r="P41" s="800">
        <v>100</v>
      </c>
      <c r="Q41" s="800">
        <v>100</v>
      </c>
      <c r="R41" s="800"/>
      <c r="S41" s="800">
        <v>100</v>
      </c>
      <c r="T41" s="800">
        <v>100</v>
      </c>
      <c r="U41" s="800">
        <v>100</v>
      </c>
      <c r="V41" s="267">
        <f>H41-D41</f>
        <v>8.333333333333343</v>
      </c>
      <c r="W41" s="267">
        <f>I41-H41</f>
        <v>0</v>
      </c>
      <c r="X41" s="349"/>
    </row>
    <row r="42" spans="1:23" s="347" customFormat="1" ht="36" customHeight="1">
      <c r="A42" s="155">
        <v>4</v>
      </c>
      <c r="B42" s="187" t="s">
        <v>497</v>
      </c>
      <c r="C42" s="148" t="s">
        <v>25</v>
      </c>
      <c r="D42" s="791">
        <v>21</v>
      </c>
      <c r="E42" s="791">
        <v>23</v>
      </c>
      <c r="F42" s="791">
        <v>27</v>
      </c>
      <c r="G42" s="791">
        <v>23</v>
      </c>
      <c r="H42" s="791">
        <v>22</v>
      </c>
      <c r="I42" s="791">
        <f>SUM(J42:U42)</f>
        <v>23</v>
      </c>
      <c r="J42" s="791">
        <v>4</v>
      </c>
      <c r="K42" s="791">
        <v>1</v>
      </c>
      <c r="L42" s="791">
        <v>3</v>
      </c>
      <c r="M42" s="791">
        <v>2</v>
      </c>
      <c r="N42" s="791">
        <v>3</v>
      </c>
      <c r="O42" s="791">
        <v>2</v>
      </c>
      <c r="P42" s="791">
        <v>1</v>
      </c>
      <c r="Q42" s="791">
        <v>1</v>
      </c>
      <c r="R42" s="791">
        <v>1</v>
      </c>
      <c r="S42" s="791">
        <v>2</v>
      </c>
      <c r="T42" s="791">
        <v>1</v>
      </c>
      <c r="U42" s="791">
        <v>2</v>
      </c>
      <c r="V42" s="152">
        <f>H42/D42*100</f>
        <v>104.76190476190477</v>
      </c>
      <c r="W42" s="152">
        <f>I42/H42*100</f>
        <v>104.54545454545455</v>
      </c>
    </row>
    <row r="43" spans="1:23" s="140" customFormat="1" ht="31.5" customHeight="1">
      <c r="A43" s="148">
        <v>5</v>
      </c>
      <c r="B43" s="187" t="s">
        <v>316</v>
      </c>
      <c r="C43" s="148" t="s">
        <v>25</v>
      </c>
      <c r="D43" s="791">
        <v>42</v>
      </c>
      <c r="E43" s="791">
        <v>45</v>
      </c>
      <c r="F43" s="791">
        <v>42</v>
      </c>
      <c r="G43" s="791">
        <v>45</v>
      </c>
      <c r="H43" s="791">
        <v>42</v>
      </c>
      <c r="I43" s="791">
        <f>SUM(J43:U43)</f>
        <v>51</v>
      </c>
      <c r="J43" s="791">
        <v>5</v>
      </c>
      <c r="K43" s="791">
        <v>2</v>
      </c>
      <c r="L43" s="791">
        <v>11</v>
      </c>
      <c r="M43" s="791">
        <v>2</v>
      </c>
      <c r="N43" s="791">
        <v>4</v>
      </c>
      <c r="O43" s="791">
        <v>5</v>
      </c>
      <c r="P43" s="791">
        <v>3</v>
      </c>
      <c r="Q43" s="791">
        <v>7</v>
      </c>
      <c r="R43" s="791">
        <v>2</v>
      </c>
      <c r="S43" s="791">
        <v>3</v>
      </c>
      <c r="T43" s="791">
        <v>4</v>
      </c>
      <c r="U43" s="791">
        <v>3</v>
      </c>
      <c r="V43" s="152">
        <f>H43/D43*100</f>
        <v>100</v>
      </c>
      <c r="W43" s="152">
        <f>I43/H43*100</f>
        <v>121.42857142857142</v>
      </c>
    </row>
    <row r="44" spans="1:23" s="347" customFormat="1" ht="31.5" customHeight="1">
      <c r="A44" s="801">
        <v>6</v>
      </c>
      <c r="B44" s="187" t="s">
        <v>356</v>
      </c>
      <c r="C44" s="148" t="s">
        <v>66</v>
      </c>
      <c r="D44" s="791">
        <v>34</v>
      </c>
      <c r="E44" s="791">
        <v>21</v>
      </c>
      <c r="F44" s="791">
        <v>22</v>
      </c>
      <c r="G44" s="791">
        <v>25</v>
      </c>
      <c r="H44" s="791">
        <v>53</v>
      </c>
      <c r="I44" s="791">
        <f>SUM(J44:U44)</f>
        <v>28</v>
      </c>
      <c r="J44" s="791">
        <v>5</v>
      </c>
      <c r="K44" s="791">
        <v>3</v>
      </c>
      <c r="L44" s="791">
        <v>3</v>
      </c>
      <c r="M44" s="791">
        <v>2</v>
      </c>
      <c r="N44" s="791">
        <v>1</v>
      </c>
      <c r="O44" s="791">
        <v>3</v>
      </c>
      <c r="P44" s="791">
        <v>2</v>
      </c>
      <c r="Q44" s="791">
        <v>2</v>
      </c>
      <c r="R44" s="791">
        <v>1</v>
      </c>
      <c r="S44" s="791">
        <v>2</v>
      </c>
      <c r="T44" s="791">
        <v>2</v>
      </c>
      <c r="U44" s="791">
        <v>2</v>
      </c>
      <c r="V44" s="152">
        <f>H44/D44*100</f>
        <v>155.88235294117646</v>
      </c>
      <c r="W44" s="152">
        <f>I44/H44*100</f>
        <v>52.83018867924528</v>
      </c>
    </row>
    <row r="45" spans="1:23" s="347" customFormat="1" ht="31.5" customHeight="1">
      <c r="A45" s="153">
        <v>7</v>
      </c>
      <c r="B45" s="187" t="s">
        <v>357</v>
      </c>
      <c r="C45" s="155"/>
      <c r="D45" s="156"/>
      <c r="E45" s="802"/>
      <c r="F45" s="803"/>
      <c r="G45" s="803"/>
      <c r="H45" s="803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5"/>
      <c r="W45" s="155"/>
    </row>
    <row r="46" spans="1:23" s="347" customFormat="1" ht="21.75" customHeight="1">
      <c r="A46" s="804">
        <v>8</v>
      </c>
      <c r="B46" s="187" t="s">
        <v>584</v>
      </c>
      <c r="C46" s="155"/>
      <c r="D46" s="156"/>
      <c r="E46" s="802"/>
      <c r="F46" s="803"/>
      <c r="G46" s="803"/>
      <c r="H46" s="803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5"/>
      <c r="W46" s="155"/>
    </row>
    <row r="47" spans="1:23" s="347" customFormat="1" ht="31.5" customHeight="1">
      <c r="A47" s="153">
        <v>9</v>
      </c>
      <c r="B47" s="187" t="s">
        <v>358</v>
      </c>
      <c r="C47" s="148" t="s">
        <v>141</v>
      </c>
      <c r="D47" s="791">
        <v>12</v>
      </c>
      <c r="E47" s="791">
        <v>12</v>
      </c>
      <c r="F47" s="791">
        <v>12</v>
      </c>
      <c r="G47" s="791">
        <v>12</v>
      </c>
      <c r="H47" s="791">
        <v>12</v>
      </c>
      <c r="I47" s="791">
        <v>12</v>
      </c>
      <c r="J47" s="791">
        <v>1</v>
      </c>
      <c r="K47" s="791">
        <v>1</v>
      </c>
      <c r="L47" s="791">
        <v>1</v>
      </c>
      <c r="M47" s="791">
        <v>1</v>
      </c>
      <c r="N47" s="791">
        <v>1</v>
      </c>
      <c r="O47" s="791">
        <v>1</v>
      </c>
      <c r="P47" s="791">
        <v>1</v>
      </c>
      <c r="Q47" s="791">
        <v>1</v>
      </c>
      <c r="R47" s="791">
        <v>1</v>
      </c>
      <c r="S47" s="791">
        <v>1</v>
      </c>
      <c r="T47" s="791">
        <v>1</v>
      </c>
      <c r="U47" s="791">
        <v>1</v>
      </c>
      <c r="V47" s="146">
        <f>H47/D47*100</f>
        <v>100</v>
      </c>
      <c r="W47" s="146">
        <f>I47/H47*100</f>
        <v>100</v>
      </c>
    </row>
    <row r="48" spans="1:23" s="142" customFormat="1" ht="24.75" customHeight="1">
      <c r="A48" s="145" t="s">
        <v>173</v>
      </c>
      <c r="B48" s="191" t="s">
        <v>26</v>
      </c>
      <c r="C48" s="145"/>
      <c r="D48" s="159"/>
      <c r="E48" s="158"/>
      <c r="F48" s="158"/>
      <c r="G48" s="158"/>
      <c r="H48" s="158"/>
      <c r="I48" s="266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234"/>
      <c r="W48" s="234"/>
    </row>
    <row r="49" spans="1:23" s="142" customFormat="1" ht="24.75" customHeight="1">
      <c r="A49" s="145" t="s">
        <v>359</v>
      </c>
      <c r="B49" s="191" t="s">
        <v>27</v>
      </c>
      <c r="C49" s="145" t="s">
        <v>168</v>
      </c>
      <c r="D49" s="158"/>
      <c r="E49" s="158"/>
      <c r="F49" s="158"/>
      <c r="G49" s="158"/>
      <c r="H49" s="158"/>
      <c r="I49" s="266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234"/>
      <c r="W49" s="234"/>
    </row>
    <row r="50" spans="1:23" s="347" customFormat="1" ht="32.25" customHeight="1">
      <c r="A50" s="148">
        <v>1</v>
      </c>
      <c r="B50" s="187" t="s">
        <v>290</v>
      </c>
      <c r="C50" s="148" t="s">
        <v>498</v>
      </c>
      <c r="D50" s="157">
        <v>324</v>
      </c>
      <c r="E50" s="157">
        <v>299</v>
      </c>
      <c r="F50" s="157">
        <v>408</v>
      </c>
      <c r="G50" s="157">
        <v>263</v>
      </c>
      <c r="H50" s="157">
        <v>200</v>
      </c>
      <c r="I50" s="147">
        <v>193</v>
      </c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52">
        <f>H50/D50*100</f>
        <v>61.72839506172839</v>
      </c>
      <c r="W50" s="267">
        <f>I50/H50*100</f>
        <v>96.5</v>
      </c>
    </row>
    <row r="51" spans="1:24" s="347" customFormat="1" ht="24.75" customHeight="1">
      <c r="A51" s="148"/>
      <c r="B51" s="187" t="s">
        <v>22</v>
      </c>
      <c r="C51" s="148" t="s">
        <v>498</v>
      </c>
      <c r="D51" s="147">
        <v>35</v>
      </c>
      <c r="E51" s="147">
        <v>35</v>
      </c>
      <c r="F51" s="147">
        <v>49</v>
      </c>
      <c r="G51" s="147">
        <v>31</v>
      </c>
      <c r="H51" s="157">
        <v>28</v>
      </c>
      <c r="I51" s="147">
        <v>28</v>
      </c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6">
        <f>H51/D51*100</f>
        <v>80</v>
      </c>
      <c r="W51" s="146">
        <f>I51/H51*100</f>
        <v>100</v>
      </c>
      <c r="X51" s="346"/>
    </row>
    <row r="52" spans="1:23" s="347" customFormat="1" ht="24.75" customHeight="1">
      <c r="A52" s="148">
        <v>2</v>
      </c>
      <c r="B52" s="187" t="s">
        <v>28</v>
      </c>
      <c r="C52" s="148" t="s">
        <v>498</v>
      </c>
      <c r="D52" s="147">
        <v>7</v>
      </c>
      <c r="E52" s="157">
        <v>29</v>
      </c>
      <c r="F52" s="157"/>
      <c r="G52" s="157">
        <v>21</v>
      </c>
      <c r="H52" s="157">
        <v>63</v>
      </c>
      <c r="I52" s="147">
        <v>15</v>
      </c>
      <c r="J52" s="157"/>
      <c r="K52" s="805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46">
        <f>H52/D52*100</f>
        <v>900</v>
      </c>
      <c r="W52" s="146">
        <f>I52/H52*100</f>
        <v>23.809523809523807</v>
      </c>
    </row>
    <row r="53" spans="1:23" s="347" customFormat="1" ht="24.75" customHeight="1">
      <c r="A53" s="148">
        <v>3</v>
      </c>
      <c r="B53" s="187" t="s">
        <v>317</v>
      </c>
      <c r="C53" s="148" t="s">
        <v>498</v>
      </c>
      <c r="D53" s="147">
        <v>100</v>
      </c>
      <c r="E53" s="157">
        <v>120</v>
      </c>
      <c r="F53" s="157">
        <v>106</v>
      </c>
      <c r="G53" s="157">
        <v>96</v>
      </c>
      <c r="H53" s="157">
        <v>110</v>
      </c>
      <c r="I53" s="147">
        <v>120</v>
      </c>
      <c r="J53" s="147"/>
      <c r="K53" s="147"/>
      <c r="L53" s="147"/>
      <c r="M53" s="147"/>
      <c r="N53" s="147"/>
      <c r="O53" s="147"/>
      <c r="P53" s="806"/>
      <c r="Q53" s="806"/>
      <c r="R53" s="147"/>
      <c r="S53" s="806"/>
      <c r="T53" s="806"/>
      <c r="U53" s="806"/>
      <c r="V53" s="146">
        <f>H53/D53*100</f>
        <v>110.00000000000001</v>
      </c>
      <c r="W53" s="146">
        <f>I53/H53*100</f>
        <v>109.09090909090908</v>
      </c>
    </row>
    <row r="54" spans="1:23" s="142" customFormat="1" ht="24.75" customHeight="1">
      <c r="A54" s="145" t="s">
        <v>362</v>
      </c>
      <c r="B54" s="191" t="s">
        <v>29</v>
      </c>
      <c r="C54" s="145"/>
      <c r="D54" s="158"/>
      <c r="E54" s="159"/>
      <c r="F54" s="159"/>
      <c r="G54" s="159"/>
      <c r="H54" s="159"/>
      <c r="I54" s="14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4"/>
      <c r="W54" s="234"/>
    </row>
    <row r="55" spans="1:23" s="140" customFormat="1" ht="24.75" customHeight="1">
      <c r="A55" s="148">
        <v>1</v>
      </c>
      <c r="B55" s="187" t="s">
        <v>30</v>
      </c>
      <c r="C55" s="148" t="s">
        <v>31</v>
      </c>
      <c r="D55" s="149">
        <v>12042</v>
      </c>
      <c r="E55" s="149">
        <v>12408</v>
      </c>
      <c r="F55" s="149">
        <v>11656</v>
      </c>
      <c r="G55" s="149">
        <v>12042</v>
      </c>
      <c r="H55" s="149">
        <f>E55</f>
        <v>12408</v>
      </c>
      <c r="I55" s="149">
        <f>SUM(J55:U55)</f>
        <v>12530</v>
      </c>
      <c r="J55" s="149">
        <v>2093</v>
      </c>
      <c r="K55" s="149">
        <v>1177</v>
      </c>
      <c r="L55" s="149">
        <v>1572</v>
      </c>
      <c r="M55" s="149">
        <v>843</v>
      </c>
      <c r="N55" s="149">
        <v>1133</v>
      </c>
      <c r="O55" s="149">
        <v>1403</v>
      </c>
      <c r="P55" s="149">
        <v>691</v>
      </c>
      <c r="Q55" s="149">
        <v>815</v>
      </c>
      <c r="R55" s="149">
        <v>518</v>
      </c>
      <c r="S55" s="149">
        <v>769</v>
      </c>
      <c r="T55" s="149">
        <v>955</v>
      </c>
      <c r="U55" s="149">
        <v>561</v>
      </c>
      <c r="V55" s="152">
        <f>H55/D55*100</f>
        <v>103.03936223218734</v>
      </c>
      <c r="W55" s="152">
        <f>I55/H55*100</f>
        <v>100.9832366215345</v>
      </c>
    </row>
    <row r="56" spans="1:23" s="140" customFormat="1" ht="36" customHeight="1">
      <c r="A56" s="148">
        <v>2</v>
      </c>
      <c r="B56" s="187" t="s">
        <v>32</v>
      </c>
      <c r="C56" s="148" t="s">
        <v>31</v>
      </c>
      <c r="D56" s="149">
        <v>5477</v>
      </c>
      <c r="E56" s="149">
        <v>4919</v>
      </c>
      <c r="F56" s="149">
        <v>5450</v>
      </c>
      <c r="G56" s="149">
        <v>4919</v>
      </c>
      <c r="H56" s="149">
        <f>E56</f>
        <v>4919</v>
      </c>
      <c r="I56" s="149">
        <f>SUM(J56:U56)</f>
        <v>4384</v>
      </c>
      <c r="J56" s="149">
        <v>236</v>
      </c>
      <c r="K56" s="149">
        <v>354</v>
      </c>
      <c r="L56" s="149">
        <v>760</v>
      </c>
      <c r="M56" s="149">
        <v>210</v>
      </c>
      <c r="N56" s="149">
        <v>367</v>
      </c>
      <c r="O56" s="149">
        <v>538</v>
      </c>
      <c r="P56" s="149">
        <v>223</v>
      </c>
      <c r="Q56" s="149">
        <v>440</v>
      </c>
      <c r="R56" s="149">
        <v>270</v>
      </c>
      <c r="S56" s="149">
        <v>396</v>
      </c>
      <c r="T56" s="149">
        <v>400</v>
      </c>
      <c r="U56" s="149">
        <v>190</v>
      </c>
      <c r="V56" s="152">
        <f>H56/D56*100</f>
        <v>89.81194084352748</v>
      </c>
      <c r="W56" s="152">
        <f>I56/H56*100</f>
        <v>89.1238056515552</v>
      </c>
    </row>
    <row r="57" spans="1:23" s="348" customFormat="1" ht="34.5" customHeight="1">
      <c r="A57" s="153">
        <v>3</v>
      </c>
      <c r="B57" s="794" t="s">
        <v>694</v>
      </c>
      <c r="C57" s="148" t="s">
        <v>31</v>
      </c>
      <c r="D57" s="149">
        <v>4904</v>
      </c>
      <c r="E57" s="149">
        <v>4384</v>
      </c>
      <c r="F57" s="149">
        <v>5451</v>
      </c>
      <c r="G57" s="149"/>
      <c r="H57" s="149">
        <f>E57</f>
        <v>4384</v>
      </c>
      <c r="I57" s="149">
        <f>SUM(J57:U57)</f>
        <v>3726</v>
      </c>
      <c r="J57" s="149">
        <f>J56-J59+J60</f>
        <v>229</v>
      </c>
      <c r="K57" s="149">
        <f aca="true" t="shared" si="17" ref="K57:U57">K56-K59+K60</f>
        <v>291</v>
      </c>
      <c r="L57" s="149">
        <f t="shared" si="17"/>
        <v>672</v>
      </c>
      <c r="M57" s="149">
        <f t="shared" si="17"/>
        <v>167</v>
      </c>
      <c r="N57" s="149">
        <f t="shared" si="17"/>
        <v>306</v>
      </c>
      <c r="O57" s="149">
        <f t="shared" si="17"/>
        <v>448</v>
      </c>
      <c r="P57" s="149">
        <f t="shared" si="17"/>
        <v>187</v>
      </c>
      <c r="Q57" s="149">
        <f t="shared" si="17"/>
        <v>359</v>
      </c>
      <c r="R57" s="149">
        <f t="shared" si="17"/>
        <v>236</v>
      </c>
      <c r="S57" s="149">
        <f t="shared" si="17"/>
        <v>353</v>
      </c>
      <c r="T57" s="149">
        <f t="shared" si="17"/>
        <v>321</v>
      </c>
      <c r="U57" s="149">
        <f t="shared" si="17"/>
        <v>157</v>
      </c>
      <c r="V57" s="152">
        <f>H57/D57*100</f>
        <v>89.39641109298532</v>
      </c>
      <c r="W57" s="152">
        <f>I57/H57*100</f>
        <v>84.99087591240875</v>
      </c>
    </row>
    <row r="58" spans="1:23" s="347" customFormat="1" ht="24.75" customHeight="1">
      <c r="A58" s="285" t="s">
        <v>337</v>
      </c>
      <c r="B58" s="187" t="s">
        <v>34</v>
      </c>
      <c r="C58" s="152" t="s">
        <v>13</v>
      </c>
      <c r="D58" s="263">
        <f>D57/D55*100</f>
        <v>40.724132203952834</v>
      </c>
      <c r="E58" s="263">
        <f>E57/E55*100</f>
        <v>35.33204384268214</v>
      </c>
      <c r="F58" s="263">
        <f aca="true" t="shared" si="18" ref="F58:U58">F57/F55*100</f>
        <v>46.7656142759094</v>
      </c>
      <c r="G58" s="263"/>
      <c r="H58" s="263">
        <f t="shared" si="18"/>
        <v>35.33204384268214</v>
      </c>
      <c r="I58" s="263">
        <f t="shared" si="18"/>
        <v>29.736632083000796</v>
      </c>
      <c r="J58" s="263">
        <f t="shared" si="18"/>
        <v>10.941232680363115</v>
      </c>
      <c r="K58" s="263">
        <f t="shared" si="18"/>
        <v>24.723874256584537</v>
      </c>
      <c r="L58" s="263">
        <f t="shared" si="18"/>
        <v>42.74809160305343</v>
      </c>
      <c r="M58" s="263">
        <f t="shared" si="18"/>
        <v>19.81020166073547</v>
      </c>
      <c r="N58" s="263">
        <f t="shared" si="18"/>
        <v>27.007943512797883</v>
      </c>
      <c r="O58" s="263">
        <f t="shared" si="18"/>
        <v>31.931575196008556</v>
      </c>
      <c r="P58" s="263">
        <f t="shared" si="18"/>
        <v>27.06222865412446</v>
      </c>
      <c r="Q58" s="263">
        <f t="shared" si="18"/>
        <v>44.04907975460123</v>
      </c>
      <c r="R58" s="263">
        <f t="shared" si="18"/>
        <v>45.559845559845556</v>
      </c>
      <c r="S58" s="263">
        <f t="shared" si="18"/>
        <v>45.9037711313394</v>
      </c>
      <c r="T58" s="263">
        <f t="shared" si="18"/>
        <v>33.61256544502618</v>
      </c>
      <c r="U58" s="263">
        <f t="shared" si="18"/>
        <v>27.98573975044563</v>
      </c>
      <c r="V58" s="152">
        <f>H58-D58</f>
        <v>-5.3920883612706945</v>
      </c>
      <c r="W58" s="267">
        <f>I58-H58</f>
        <v>-5.595411759681344</v>
      </c>
    </row>
    <row r="59" spans="1:24" s="347" customFormat="1" ht="24.75" customHeight="1">
      <c r="A59" s="148">
        <v>4</v>
      </c>
      <c r="B59" s="187" t="s">
        <v>33</v>
      </c>
      <c r="C59" s="148" t="s">
        <v>31</v>
      </c>
      <c r="D59" s="147">
        <v>964</v>
      </c>
      <c r="E59" s="147">
        <v>738</v>
      </c>
      <c r="F59" s="149">
        <v>781</v>
      </c>
      <c r="G59" s="149"/>
      <c r="H59" s="807">
        <f>E59</f>
        <v>738</v>
      </c>
      <c r="I59" s="149">
        <f>SUM(J59:U59)</f>
        <v>759</v>
      </c>
      <c r="J59" s="149">
        <v>16</v>
      </c>
      <c r="K59" s="149">
        <v>70</v>
      </c>
      <c r="L59" s="149">
        <v>100</v>
      </c>
      <c r="M59" s="149">
        <v>50</v>
      </c>
      <c r="N59" s="149">
        <v>70</v>
      </c>
      <c r="O59" s="149">
        <v>100</v>
      </c>
      <c r="P59" s="149">
        <v>43</v>
      </c>
      <c r="Q59" s="149">
        <v>90</v>
      </c>
      <c r="R59" s="149">
        <v>40</v>
      </c>
      <c r="S59" s="149">
        <v>50</v>
      </c>
      <c r="T59" s="149">
        <v>90</v>
      </c>
      <c r="U59" s="149">
        <v>40</v>
      </c>
      <c r="V59" s="152">
        <f>H59/D59*100</f>
        <v>76.55601659751036</v>
      </c>
      <c r="W59" s="146">
        <f>I59/H59*100</f>
        <v>102.84552845528457</v>
      </c>
      <c r="X59" s="346"/>
    </row>
    <row r="60" spans="1:24" s="347" customFormat="1" ht="24.75" customHeight="1">
      <c r="A60" s="148">
        <v>5</v>
      </c>
      <c r="B60" s="187" t="s">
        <v>360</v>
      </c>
      <c r="C60" s="148" t="s">
        <v>31</v>
      </c>
      <c r="D60" s="147">
        <v>391</v>
      </c>
      <c r="E60" s="147">
        <v>203</v>
      </c>
      <c r="F60" s="149">
        <v>794</v>
      </c>
      <c r="G60" s="149"/>
      <c r="H60" s="807">
        <f>E60</f>
        <v>203</v>
      </c>
      <c r="I60" s="149">
        <f>SUM(J60:U60)</f>
        <v>101</v>
      </c>
      <c r="J60" s="149">
        <v>9</v>
      </c>
      <c r="K60" s="149">
        <v>7</v>
      </c>
      <c r="L60" s="149">
        <v>12</v>
      </c>
      <c r="M60" s="149">
        <v>7</v>
      </c>
      <c r="N60" s="149">
        <v>9</v>
      </c>
      <c r="O60" s="149">
        <v>10</v>
      </c>
      <c r="P60" s="149">
        <v>7</v>
      </c>
      <c r="Q60" s="149">
        <v>9</v>
      </c>
      <c r="R60" s="149">
        <v>6</v>
      </c>
      <c r="S60" s="149">
        <v>7</v>
      </c>
      <c r="T60" s="149">
        <v>11</v>
      </c>
      <c r="U60" s="149">
        <v>7</v>
      </c>
      <c r="V60" s="152">
        <f>H60/D60*100</f>
        <v>51.91815856777494</v>
      </c>
      <c r="W60" s="146">
        <f>I60/H60*100</f>
        <v>49.75369458128079</v>
      </c>
      <c r="X60" s="346"/>
    </row>
    <row r="61" spans="1:23" s="347" customFormat="1" ht="24.75" customHeight="1">
      <c r="A61" s="148">
        <v>6</v>
      </c>
      <c r="B61" s="187" t="s">
        <v>222</v>
      </c>
      <c r="C61" s="152" t="s">
        <v>164</v>
      </c>
      <c r="D61" s="147">
        <v>2241</v>
      </c>
      <c r="E61" s="147">
        <v>2678</v>
      </c>
      <c r="F61" s="147">
        <v>1523</v>
      </c>
      <c r="G61" s="147"/>
      <c r="H61" s="808">
        <f>E61</f>
        <v>2678</v>
      </c>
      <c r="I61" s="149">
        <f>SUM(J61:U61)</f>
        <v>3032</v>
      </c>
      <c r="J61" s="149">
        <v>350</v>
      </c>
      <c r="K61" s="149">
        <v>267</v>
      </c>
      <c r="L61" s="149">
        <v>325</v>
      </c>
      <c r="M61" s="149">
        <v>235</v>
      </c>
      <c r="N61" s="149">
        <v>265</v>
      </c>
      <c r="O61" s="149">
        <v>260</v>
      </c>
      <c r="P61" s="149">
        <v>270</v>
      </c>
      <c r="Q61" s="149">
        <v>230</v>
      </c>
      <c r="R61" s="149">
        <v>130</v>
      </c>
      <c r="S61" s="149">
        <v>180</v>
      </c>
      <c r="T61" s="149">
        <v>290</v>
      </c>
      <c r="U61" s="149">
        <v>230</v>
      </c>
      <c r="V61" s="267">
        <f>H61/D61*100</f>
        <v>119.50022311468094</v>
      </c>
      <c r="W61" s="152">
        <f>I61/H61*100</f>
        <v>113.21882001493653</v>
      </c>
    </row>
    <row r="62" spans="1:23" s="347" customFormat="1" ht="24.75" customHeight="1">
      <c r="A62" s="285" t="s">
        <v>337</v>
      </c>
      <c r="B62" s="187" t="s">
        <v>292</v>
      </c>
      <c r="C62" s="152" t="s">
        <v>13</v>
      </c>
      <c r="D62" s="260">
        <f>D61/D55*100</f>
        <v>18.609865470852018</v>
      </c>
      <c r="E62" s="263">
        <f>E61/E55*100</f>
        <v>21.582849774339135</v>
      </c>
      <c r="F62" s="263">
        <f aca="true" t="shared" si="19" ref="F62:U62">F61/F55*100</f>
        <v>13.066231983527796</v>
      </c>
      <c r="G62" s="263"/>
      <c r="H62" s="263">
        <f t="shared" si="19"/>
        <v>21.582849774339135</v>
      </c>
      <c r="I62" s="260">
        <f t="shared" si="19"/>
        <v>24.197924980047887</v>
      </c>
      <c r="J62" s="263">
        <f t="shared" si="19"/>
        <v>16.722408026755854</v>
      </c>
      <c r="K62" s="263">
        <f t="shared" si="19"/>
        <v>22.68479184367035</v>
      </c>
      <c r="L62" s="263">
        <f t="shared" si="19"/>
        <v>20.674300254452927</v>
      </c>
      <c r="M62" s="263">
        <f t="shared" si="19"/>
        <v>27.876631079478052</v>
      </c>
      <c r="N62" s="263">
        <f t="shared" si="19"/>
        <v>23.389232127096204</v>
      </c>
      <c r="O62" s="263">
        <f t="shared" si="19"/>
        <v>18.531717747683533</v>
      </c>
      <c r="P62" s="263">
        <f t="shared" si="19"/>
        <v>39.07380607814761</v>
      </c>
      <c r="Q62" s="263">
        <f t="shared" si="19"/>
        <v>28.22085889570552</v>
      </c>
      <c r="R62" s="260">
        <f t="shared" si="19"/>
        <v>25.096525096525095</v>
      </c>
      <c r="S62" s="263">
        <f t="shared" si="19"/>
        <v>23.407022106631988</v>
      </c>
      <c r="T62" s="263">
        <f t="shared" si="19"/>
        <v>30.36649214659686</v>
      </c>
      <c r="U62" s="147">
        <f t="shared" si="19"/>
        <v>40.998217468805706</v>
      </c>
      <c r="V62" s="152">
        <f>H62-D62</f>
        <v>2.9729843034871166</v>
      </c>
      <c r="W62" s="152">
        <f>I62-H62</f>
        <v>2.6150752057087523</v>
      </c>
    </row>
    <row r="63" spans="1:23" s="347" customFormat="1" ht="24.75" customHeight="1">
      <c r="A63" s="148">
        <v>7</v>
      </c>
      <c r="B63" s="187" t="s">
        <v>361</v>
      </c>
      <c r="C63" s="152" t="s">
        <v>13</v>
      </c>
      <c r="D63" s="260">
        <v>99.1</v>
      </c>
      <c r="E63" s="260">
        <v>99.1</v>
      </c>
      <c r="F63" s="260">
        <v>99.7</v>
      </c>
      <c r="G63" s="260"/>
      <c r="H63" s="809">
        <f>E63</f>
        <v>99.1</v>
      </c>
      <c r="I63" s="147">
        <f>SUM(J63:U63)/12</f>
        <v>99</v>
      </c>
      <c r="J63" s="808">
        <v>88</v>
      </c>
      <c r="K63" s="808">
        <v>100</v>
      </c>
      <c r="L63" s="808">
        <v>100</v>
      </c>
      <c r="M63" s="808">
        <v>100</v>
      </c>
      <c r="N63" s="808">
        <v>100</v>
      </c>
      <c r="O63" s="808">
        <v>100</v>
      </c>
      <c r="P63" s="808">
        <v>100</v>
      </c>
      <c r="Q63" s="808">
        <v>100</v>
      </c>
      <c r="R63" s="808">
        <v>100</v>
      </c>
      <c r="S63" s="808">
        <v>100</v>
      </c>
      <c r="T63" s="808">
        <v>100</v>
      </c>
      <c r="U63" s="808">
        <v>100</v>
      </c>
      <c r="V63" s="146">
        <f>H63-D63</f>
        <v>0</v>
      </c>
      <c r="W63" s="267">
        <f>I63-E63</f>
        <v>-0.09999999999999432</v>
      </c>
    </row>
    <row r="64" spans="1:23" s="140" customFormat="1" ht="19.5" customHeight="1">
      <c r="A64" s="261" t="s">
        <v>363</v>
      </c>
      <c r="B64" s="262" t="s">
        <v>364</v>
      </c>
      <c r="C64" s="152"/>
      <c r="D64" s="260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4"/>
      <c r="T64" s="157"/>
      <c r="U64" s="157"/>
      <c r="V64" s="265"/>
      <c r="W64" s="265"/>
    </row>
    <row r="65" spans="1:23" s="350" customFormat="1" ht="39" customHeight="1">
      <c r="A65" s="261">
        <v>1</v>
      </c>
      <c r="B65" s="191" t="s">
        <v>365</v>
      </c>
      <c r="C65" s="810" t="s">
        <v>141</v>
      </c>
      <c r="D65" s="159">
        <v>2232</v>
      </c>
      <c r="E65" s="159">
        <v>3229</v>
      </c>
      <c r="F65" s="159"/>
      <c r="G65" s="159">
        <v>2226</v>
      </c>
      <c r="H65" s="159">
        <v>2402</v>
      </c>
      <c r="I65" s="159">
        <f>SUM(J65:U65)</f>
        <v>2402</v>
      </c>
      <c r="J65" s="811">
        <f>J66+5</f>
        <v>1026</v>
      </c>
      <c r="K65" s="811">
        <f aca="true" t="shared" si="20" ref="K65:U65">K66+5</f>
        <v>110</v>
      </c>
      <c r="L65" s="811">
        <f t="shared" si="20"/>
        <v>182</v>
      </c>
      <c r="M65" s="811">
        <f t="shared" si="20"/>
        <v>116</v>
      </c>
      <c r="N65" s="811">
        <f t="shared" si="20"/>
        <v>144</v>
      </c>
      <c r="O65" s="811">
        <f t="shared" si="20"/>
        <v>167</v>
      </c>
      <c r="P65" s="811">
        <f t="shared" si="20"/>
        <v>113</v>
      </c>
      <c r="Q65" s="811">
        <f t="shared" si="20"/>
        <v>116</v>
      </c>
      <c r="R65" s="811">
        <f t="shared" si="20"/>
        <v>80</v>
      </c>
      <c r="S65" s="811">
        <f t="shared" si="20"/>
        <v>130</v>
      </c>
      <c r="T65" s="811">
        <f t="shared" si="20"/>
        <v>124</v>
      </c>
      <c r="U65" s="811">
        <f t="shared" si="20"/>
        <v>94</v>
      </c>
      <c r="V65" s="810">
        <f>H65/E65*100</f>
        <v>74.38835552802725</v>
      </c>
      <c r="W65" s="812">
        <f>I65/H65*100</f>
        <v>100</v>
      </c>
    </row>
    <row r="66" spans="1:23" s="347" customFormat="1" ht="24" customHeight="1">
      <c r="A66" s="813"/>
      <c r="B66" s="152" t="s">
        <v>366</v>
      </c>
      <c r="C66" s="152" t="s">
        <v>141</v>
      </c>
      <c r="D66" s="147">
        <v>2250</v>
      </c>
      <c r="E66" s="147">
        <v>3068</v>
      </c>
      <c r="F66" s="147">
        <v>2254</v>
      </c>
      <c r="G66" s="147">
        <v>2202</v>
      </c>
      <c r="H66" s="147">
        <v>2342</v>
      </c>
      <c r="I66" s="147">
        <f>SUM(J66:U66)</f>
        <v>2342</v>
      </c>
      <c r="J66" s="814">
        <f>1006+15</f>
        <v>1021</v>
      </c>
      <c r="K66" s="814">
        <f>90+15</f>
        <v>105</v>
      </c>
      <c r="L66" s="814">
        <f>162+15</f>
        <v>177</v>
      </c>
      <c r="M66" s="814">
        <f>96+15</f>
        <v>111</v>
      </c>
      <c r="N66" s="814">
        <f>129+10</f>
        <v>139</v>
      </c>
      <c r="O66" s="814">
        <f>152+10</f>
        <v>162</v>
      </c>
      <c r="P66" s="814">
        <f>98+10</f>
        <v>108</v>
      </c>
      <c r="Q66" s="814">
        <f>101+10</f>
        <v>111</v>
      </c>
      <c r="R66" s="814">
        <f>65+10</f>
        <v>75</v>
      </c>
      <c r="S66" s="814">
        <f>115+10</f>
        <v>125</v>
      </c>
      <c r="T66" s="814">
        <f>109+10</f>
        <v>119</v>
      </c>
      <c r="U66" s="814">
        <f>79+10</f>
        <v>89</v>
      </c>
      <c r="V66" s="152">
        <f>H66/E66*100</f>
        <v>76.33637548891787</v>
      </c>
      <c r="W66" s="146">
        <f>I66/H66*100</f>
        <v>100</v>
      </c>
    </row>
    <row r="67" spans="1:23" s="347" customFormat="1" ht="19.5" customHeight="1">
      <c r="A67" s="813"/>
      <c r="B67" s="815" t="s">
        <v>367</v>
      </c>
      <c r="C67" s="152" t="s">
        <v>13</v>
      </c>
      <c r="D67" s="267">
        <f>D66/D65*100</f>
        <v>100.80645161290323</v>
      </c>
      <c r="E67" s="146">
        <f>E66/E65*100</f>
        <v>95.01393620315888</v>
      </c>
      <c r="F67" s="816"/>
      <c r="G67" s="267">
        <f>G66/G65*100</f>
        <v>98.92183288409704</v>
      </c>
      <c r="H67" s="267">
        <f>H66/H65*100</f>
        <v>97.50208159866777</v>
      </c>
      <c r="I67" s="267">
        <f>I66/I65*100</f>
        <v>97.50208159866777</v>
      </c>
      <c r="J67" s="267">
        <f aca="true" t="shared" si="21" ref="J67:U67">J66/J65*100</f>
        <v>99.51267056530214</v>
      </c>
      <c r="K67" s="267">
        <f t="shared" si="21"/>
        <v>95.45454545454545</v>
      </c>
      <c r="L67" s="267">
        <f t="shared" si="21"/>
        <v>97.25274725274726</v>
      </c>
      <c r="M67" s="267">
        <f t="shared" si="21"/>
        <v>95.6896551724138</v>
      </c>
      <c r="N67" s="267">
        <f t="shared" si="21"/>
        <v>96.52777777777779</v>
      </c>
      <c r="O67" s="267">
        <f t="shared" si="21"/>
        <v>97.0059880239521</v>
      </c>
      <c r="P67" s="267">
        <f t="shared" si="21"/>
        <v>95.57522123893806</v>
      </c>
      <c r="Q67" s="267">
        <f t="shared" si="21"/>
        <v>95.6896551724138</v>
      </c>
      <c r="R67" s="267">
        <f t="shared" si="21"/>
        <v>93.75</v>
      </c>
      <c r="S67" s="267">
        <f t="shared" si="21"/>
        <v>96.15384615384616</v>
      </c>
      <c r="T67" s="267">
        <f t="shared" si="21"/>
        <v>95.96774193548387</v>
      </c>
      <c r="U67" s="267">
        <f t="shared" si="21"/>
        <v>94.68085106382979</v>
      </c>
      <c r="V67" s="267">
        <f>I67-D67</f>
        <v>-3.3043700142354595</v>
      </c>
      <c r="W67" s="267">
        <f>J67-E67</f>
        <v>4.498734362143267</v>
      </c>
    </row>
    <row r="68" spans="1:23" s="350" customFormat="1" ht="35.25" customHeight="1">
      <c r="A68" s="261">
        <v>2</v>
      </c>
      <c r="B68" s="262" t="s">
        <v>368</v>
      </c>
      <c r="C68" s="810" t="s">
        <v>141</v>
      </c>
      <c r="D68" s="159">
        <v>1855</v>
      </c>
      <c r="E68" s="159">
        <v>2506</v>
      </c>
      <c r="F68" s="159"/>
      <c r="G68" s="159">
        <v>1726</v>
      </c>
      <c r="H68" s="159">
        <v>1984</v>
      </c>
      <c r="I68" s="812">
        <f>SUM(J68:U68)</f>
        <v>2032</v>
      </c>
      <c r="J68" s="812">
        <f>J69+1</f>
        <v>1031</v>
      </c>
      <c r="K68" s="812">
        <f aca="true" t="shared" si="22" ref="K68:U68">K69+1</f>
        <v>84</v>
      </c>
      <c r="L68" s="812">
        <f t="shared" si="22"/>
        <v>141</v>
      </c>
      <c r="M68" s="812">
        <f t="shared" si="22"/>
        <v>79</v>
      </c>
      <c r="N68" s="812">
        <f t="shared" si="22"/>
        <v>109</v>
      </c>
      <c r="O68" s="812">
        <f t="shared" si="22"/>
        <v>131</v>
      </c>
      <c r="P68" s="812">
        <f t="shared" si="22"/>
        <v>79</v>
      </c>
      <c r="Q68" s="812">
        <f t="shared" si="22"/>
        <v>83</v>
      </c>
      <c r="R68" s="812">
        <f t="shared" si="22"/>
        <v>49</v>
      </c>
      <c r="S68" s="812">
        <f t="shared" si="22"/>
        <v>98</v>
      </c>
      <c r="T68" s="812">
        <f t="shared" si="22"/>
        <v>84</v>
      </c>
      <c r="U68" s="812">
        <f t="shared" si="22"/>
        <v>64</v>
      </c>
      <c r="V68" s="810">
        <f>H68/E68*100</f>
        <v>79.16999201915404</v>
      </c>
      <c r="W68" s="810">
        <f>I68/H68*100</f>
        <v>102.41935483870968</v>
      </c>
    </row>
    <row r="69" spans="1:23" s="347" customFormat="1" ht="31.5" customHeight="1">
      <c r="A69" s="813"/>
      <c r="B69" s="815" t="s">
        <v>369</v>
      </c>
      <c r="C69" s="152" t="s">
        <v>141</v>
      </c>
      <c r="D69" s="147">
        <v>1740</v>
      </c>
      <c r="E69" s="147">
        <v>2434</v>
      </c>
      <c r="F69" s="147">
        <v>1733</v>
      </c>
      <c r="G69" s="147">
        <v>1726</v>
      </c>
      <c r="H69" s="147">
        <v>1984</v>
      </c>
      <c r="I69" s="146">
        <f>SUM(J69:U69)</f>
        <v>2020</v>
      </c>
      <c r="J69" s="146">
        <f>818+10+202</f>
        <v>1030</v>
      </c>
      <c r="K69" s="146">
        <f>73+10</f>
        <v>83</v>
      </c>
      <c r="L69" s="146">
        <f>130+10</f>
        <v>140</v>
      </c>
      <c r="M69" s="146">
        <f>68+10</f>
        <v>78</v>
      </c>
      <c r="N69" s="146">
        <f>98+10</f>
        <v>108</v>
      </c>
      <c r="O69" s="146">
        <f>120+10</f>
        <v>130</v>
      </c>
      <c r="P69" s="146">
        <f>68+10</f>
        <v>78</v>
      </c>
      <c r="Q69" s="146">
        <f>72+10</f>
        <v>82</v>
      </c>
      <c r="R69" s="146">
        <f>38+10</f>
        <v>48</v>
      </c>
      <c r="S69" s="146">
        <f>87+10</f>
        <v>97</v>
      </c>
      <c r="T69" s="146">
        <f>73+10</f>
        <v>83</v>
      </c>
      <c r="U69" s="146">
        <f>53+10</f>
        <v>63</v>
      </c>
      <c r="V69" s="152">
        <f>H69/E69*100</f>
        <v>81.51191454396056</v>
      </c>
      <c r="W69" s="152">
        <f>I69/H69*100</f>
        <v>101.81451612903226</v>
      </c>
    </row>
    <row r="70" spans="1:23" s="347" customFormat="1" ht="19.5" customHeight="1">
      <c r="A70" s="813"/>
      <c r="B70" s="817" t="s">
        <v>370</v>
      </c>
      <c r="C70" s="152" t="s">
        <v>13</v>
      </c>
      <c r="D70" s="818">
        <f aca="true" t="shared" si="23" ref="D70:I70">D69/D68*100</f>
        <v>93.80053908355795</v>
      </c>
      <c r="E70" s="818">
        <f t="shared" si="23"/>
        <v>97.1268954509178</v>
      </c>
      <c r="F70" s="818" t="e">
        <f t="shared" si="23"/>
        <v>#DIV/0!</v>
      </c>
      <c r="G70" s="819">
        <f t="shared" si="23"/>
        <v>100</v>
      </c>
      <c r="H70" s="819">
        <f t="shared" si="23"/>
        <v>100</v>
      </c>
      <c r="I70" s="818">
        <f t="shared" si="23"/>
        <v>99.40944881889764</v>
      </c>
      <c r="J70" s="818">
        <f>J69/J68*100</f>
        <v>99.90300678952472</v>
      </c>
      <c r="K70" s="818">
        <f aca="true" t="shared" si="24" ref="K70:U70">K69/K68*100</f>
        <v>98.80952380952381</v>
      </c>
      <c r="L70" s="818">
        <f t="shared" si="24"/>
        <v>99.29078014184397</v>
      </c>
      <c r="M70" s="818">
        <f t="shared" si="24"/>
        <v>98.73417721518987</v>
      </c>
      <c r="N70" s="818">
        <f t="shared" si="24"/>
        <v>99.08256880733946</v>
      </c>
      <c r="O70" s="818">
        <f t="shared" si="24"/>
        <v>99.23664122137404</v>
      </c>
      <c r="P70" s="818">
        <f t="shared" si="24"/>
        <v>98.73417721518987</v>
      </c>
      <c r="Q70" s="818">
        <f t="shared" si="24"/>
        <v>98.79518072289156</v>
      </c>
      <c r="R70" s="818">
        <f t="shared" si="24"/>
        <v>97.95918367346938</v>
      </c>
      <c r="S70" s="818">
        <f t="shared" si="24"/>
        <v>98.9795918367347</v>
      </c>
      <c r="T70" s="818">
        <f t="shared" si="24"/>
        <v>98.80952380952381</v>
      </c>
      <c r="U70" s="818">
        <f t="shared" si="24"/>
        <v>98.4375</v>
      </c>
      <c r="V70" s="267">
        <f>H70-D70</f>
        <v>6.1994609164420496</v>
      </c>
      <c r="W70" s="152">
        <f>I70-H70</f>
        <v>-0.5905511811023558</v>
      </c>
    </row>
    <row r="71" spans="1:23" s="350" customFormat="1" ht="38.25" customHeight="1">
      <c r="A71" s="261">
        <v>3</v>
      </c>
      <c r="B71" s="262" t="s">
        <v>371</v>
      </c>
      <c r="C71" s="810" t="s">
        <v>141</v>
      </c>
      <c r="D71" s="159">
        <v>29987</v>
      </c>
      <c r="E71" s="159">
        <v>31833</v>
      </c>
      <c r="F71" s="159"/>
      <c r="G71" s="159">
        <v>29987</v>
      </c>
      <c r="H71" s="159">
        <v>29987</v>
      </c>
      <c r="I71" s="812">
        <f>SUM(J71:U71)</f>
        <v>15624</v>
      </c>
      <c r="J71" s="812">
        <f>1292+10</f>
        <v>1302</v>
      </c>
      <c r="K71" s="812">
        <f aca="true" t="shared" si="25" ref="K71:U71">1292+10</f>
        <v>1302</v>
      </c>
      <c r="L71" s="812">
        <f t="shared" si="25"/>
        <v>1302</v>
      </c>
      <c r="M71" s="812">
        <f t="shared" si="25"/>
        <v>1302</v>
      </c>
      <c r="N71" s="812">
        <f t="shared" si="25"/>
        <v>1302</v>
      </c>
      <c r="O71" s="812">
        <f t="shared" si="25"/>
        <v>1302</v>
      </c>
      <c r="P71" s="812">
        <f t="shared" si="25"/>
        <v>1302</v>
      </c>
      <c r="Q71" s="812">
        <f t="shared" si="25"/>
        <v>1302</v>
      </c>
      <c r="R71" s="812">
        <f t="shared" si="25"/>
        <v>1302</v>
      </c>
      <c r="S71" s="812">
        <f t="shared" si="25"/>
        <v>1302</v>
      </c>
      <c r="T71" s="812">
        <f t="shared" si="25"/>
        <v>1302</v>
      </c>
      <c r="U71" s="812">
        <f t="shared" si="25"/>
        <v>1302</v>
      </c>
      <c r="V71" s="812">
        <f>H71/D71*100</f>
        <v>100</v>
      </c>
      <c r="W71" s="820">
        <f>I71/H71*100</f>
        <v>52.10257778370627</v>
      </c>
    </row>
    <row r="72" spans="1:23" s="347" customFormat="1" ht="32.25" customHeight="1">
      <c r="A72" s="813"/>
      <c r="B72" s="152" t="s">
        <v>687</v>
      </c>
      <c r="C72" s="152" t="s">
        <v>141</v>
      </c>
      <c r="D72" s="147">
        <v>980</v>
      </c>
      <c r="E72" s="147">
        <v>1125</v>
      </c>
      <c r="F72" s="147">
        <v>640</v>
      </c>
      <c r="G72" s="147">
        <v>950</v>
      </c>
      <c r="H72" s="147">
        <v>1300</v>
      </c>
      <c r="I72" s="146">
        <f>SUM(J72:U72)</f>
        <v>1300</v>
      </c>
      <c r="J72" s="146">
        <f>511+75</f>
        <v>586</v>
      </c>
      <c r="K72" s="146">
        <f>70+45</f>
        <v>115</v>
      </c>
      <c r="L72" s="146">
        <f>42+50</f>
        <v>92</v>
      </c>
      <c r="M72" s="146">
        <f>118+20</f>
        <v>138</v>
      </c>
      <c r="N72" s="146">
        <f>46+20</f>
        <v>66</v>
      </c>
      <c r="O72" s="146">
        <f>42+20</f>
        <v>62</v>
      </c>
      <c r="P72" s="146">
        <f>30+20</f>
        <v>50</v>
      </c>
      <c r="Q72" s="146">
        <f>22+20</f>
        <v>42</v>
      </c>
      <c r="R72" s="146">
        <f>9+20</f>
        <v>29</v>
      </c>
      <c r="S72" s="146">
        <f>10+20</f>
        <v>30</v>
      </c>
      <c r="T72" s="146">
        <f>15+20</f>
        <v>35</v>
      </c>
      <c r="U72" s="146">
        <f>35+20</f>
        <v>55</v>
      </c>
      <c r="V72" s="152">
        <f>H72/D72*100</f>
        <v>132.6530612244898</v>
      </c>
      <c r="W72" s="146">
        <f>I72/H72*100</f>
        <v>100</v>
      </c>
    </row>
    <row r="73" spans="1:23" s="350" customFormat="1" ht="19.5" customHeight="1">
      <c r="A73" s="261"/>
      <c r="B73" s="817" t="s">
        <v>372</v>
      </c>
      <c r="C73" s="810"/>
      <c r="D73" s="267">
        <f aca="true" t="shared" si="26" ref="D73:I73">D72/D71*100</f>
        <v>3.2680828358955547</v>
      </c>
      <c r="E73" s="267">
        <f t="shared" si="26"/>
        <v>3.5340684195646026</v>
      </c>
      <c r="F73" s="267" t="e">
        <f t="shared" si="26"/>
        <v>#DIV/0!</v>
      </c>
      <c r="G73" s="267">
        <f t="shared" si="26"/>
        <v>3.1680394837763033</v>
      </c>
      <c r="H73" s="267">
        <f t="shared" si="26"/>
        <v>4.335211925167572</v>
      </c>
      <c r="I73" s="267">
        <f t="shared" si="26"/>
        <v>8.3205325140809</v>
      </c>
      <c r="J73" s="146">
        <f>J72/J71*100</f>
        <v>45.00768049155146</v>
      </c>
      <c r="K73" s="267">
        <f aca="true" t="shared" si="27" ref="K73:U73">K72/K71*100</f>
        <v>8.832565284178187</v>
      </c>
      <c r="L73" s="267">
        <f t="shared" si="27"/>
        <v>7.066052227342549</v>
      </c>
      <c r="M73" s="267">
        <f t="shared" si="27"/>
        <v>10.599078341013826</v>
      </c>
      <c r="N73" s="267">
        <f t="shared" si="27"/>
        <v>5.0691244239631335</v>
      </c>
      <c r="O73" s="267">
        <f t="shared" si="27"/>
        <v>4.761904761904762</v>
      </c>
      <c r="P73" s="267">
        <f t="shared" si="27"/>
        <v>3.840245775729647</v>
      </c>
      <c r="Q73" s="267">
        <f t="shared" si="27"/>
        <v>3.225806451612903</v>
      </c>
      <c r="R73" s="267">
        <f t="shared" si="27"/>
        <v>2.227342549923195</v>
      </c>
      <c r="S73" s="267">
        <f t="shared" si="27"/>
        <v>2.3041474654377883</v>
      </c>
      <c r="T73" s="267">
        <f t="shared" si="27"/>
        <v>2.6881720430107525</v>
      </c>
      <c r="U73" s="267">
        <f t="shared" si="27"/>
        <v>4.224270353302612</v>
      </c>
      <c r="V73" s="152">
        <f>H73-D73</f>
        <v>1.0671290892720173</v>
      </c>
      <c r="W73" s="152">
        <f>I73-H73</f>
        <v>3.9853205889133285</v>
      </c>
    </row>
    <row r="74" spans="1:24" s="350" customFormat="1" ht="24.75" customHeight="1">
      <c r="A74" s="145" t="s">
        <v>174</v>
      </c>
      <c r="B74" s="191" t="s">
        <v>35</v>
      </c>
      <c r="C74" s="145" t="s">
        <v>499</v>
      </c>
      <c r="D74" s="159">
        <f>D77</f>
        <v>519</v>
      </c>
      <c r="E74" s="159">
        <f>E77</f>
        <v>800</v>
      </c>
      <c r="F74" s="159">
        <f>F77</f>
        <v>0</v>
      </c>
      <c r="G74" s="159">
        <f>G77</f>
        <v>519</v>
      </c>
      <c r="H74" s="159">
        <f>E74</f>
        <v>800</v>
      </c>
      <c r="I74" s="159">
        <f>SUM(J74:U74)</f>
        <v>805</v>
      </c>
      <c r="J74" s="159">
        <f>J77</f>
        <v>35</v>
      </c>
      <c r="K74" s="159">
        <f aca="true" t="shared" si="28" ref="K74:U74">K77</f>
        <v>70</v>
      </c>
      <c r="L74" s="159">
        <f t="shared" si="28"/>
        <v>70</v>
      </c>
      <c r="M74" s="159">
        <f t="shared" si="28"/>
        <v>70</v>
      </c>
      <c r="N74" s="159">
        <f t="shared" si="28"/>
        <v>70</v>
      </c>
      <c r="O74" s="159">
        <f t="shared" si="28"/>
        <v>70</v>
      </c>
      <c r="P74" s="159">
        <f t="shared" si="28"/>
        <v>70</v>
      </c>
      <c r="Q74" s="159">
        <f t="shared" si="28"/>
        <v>70</v>
      </c>
      <c r="R74" s="159">
        <f t="shared" si="28"/>
        <v>70</v>
      </c>
      <c r="S74" s="159">
        <f t="shared" si="28"/>
        <v>70</v>
      </c>
      <c r="T74" s="159">
        <f t="shared" si="28"/>
        <v>70</v>
      </c>
      <c r="U74" s="159">
        <f t="shared" si="28"/>
        <v>70</v>
      </c>
      <c r="V74" s="810">
        <f>H74/D74*100</f>
        <v>154.14258188824664</v>
      </c>
      <c r="W74" s="810">
        <f>I74/H74*100</f>
        <v>100.62500000000001</v>
      </c>
      <c r="X74" s="351"/>
    </row>
    <row r="75" spans="1:28" s="140" customFormat="1" ht="24.75" customHeight="1" hidden="1">
      <c r="A75" s="148">
        <v>1</v>
      </c>
      <c r="B75" s="187" t="s">
        <v>38</v>
      </c>
      <c r="C75" s="148" t="s">
        <v>36</v>
      </c>
      <c r="D75" s="147"/>
      <c r="E75" s="147"/>
      <c r="F75" s="147"/>
      <c r="G75" s="147"/>
      <c r="H75" s="159">
        <f>E75</f>
        <v>0</v>
      </c>
      <c r="I75" s="159">
        <f>SUM(J75:U75)</f>
        <v>0</v>
      </c>
      <c r="J75" s="260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54"/>
      <c r="W75" s="155"/>
      <c r="X75" s="142"/>
      <c r="Y75" s="142"/>
      <c r="Z75" s="142"/>
      <c r="AA75" s="142"/>
      <c r="AB75" s="142"/>
    </row>
    <row r="76" spans="1:23" s="140" customFormat="1" ht="24.75" customHeight="1" hidden="1">
      <c r="A76" s="148">
        <v>2</v>
      </c>
      <c r="B76" s="187" t="s">
        <v>37</v>
      </c>
      <c r="C76" s="148" t="s">
        <v>36</v>
      </c>
      <c r="D76" s="147"/>
      <c r="E76" s="147"/>
      <c r="F76" s="147"/>
      <c r="G76" s="147"/>
      <c r="H76" s="159">
        <f>E76</f>
        <v>0</v>
      </c>
      <c r="I76" s="159">
        <f>SUM(J76:U76)</f>
        <v>0</v>
      </c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54"/>
      <c r="W76" s="155"/>
    </row>
    <row r="77" spans="1:28" s="347" customFormat="1" ht="36" customHeight="1">
      <c r="A77" s="153"/>
      <c r="B77" s="187" t="s">
        <v>248</v>
      </c>
      <c r="C77" s="148" t="s">
        <v>499</v>
      </c>
      <c r="D77" s="148">
        <v>519</v>
      </c>
      <c r="E77" s="147">
        <v>800</v>
      </c>
      <c r="F77" s="147"/>
      <c r="G77" s="147">
        <v>519</v>
      </c>
      <c r="H77" s="147">
        <f>E77</f>
        <v>800</v>
      </c>
      <c r="I77" s="147">
        <f>SUM(J77:U77)</f>
        <v>805</v>
      </c>
      <c r="J77" s="147">
        <v>35</v>
      </c>
      <c r="K77" s="147">
        <v>70</v>
      </c>
      <c r="L77" s="147">
        <v>70</v>
      </c>
      <c r="M77" s="147">
        <v>70</v>
      </c>
      <c r="N77" s="147">
        <v>70</v>
      </c>
      <c r="O77" s="147">
        <v>70</v>
      </c>
      <c r="P77" s="147">
        <v>70</v>
      </c>
      <c r="Q77" s="147">
        <v>70</v>
      </c>
      <c r="R77" s="147">
        <v>70</v>
      </c>
      <c r="S77" s="147">
        <v>70</v>
      </c>
      <c r="T77" s="147">
        <v>70</v>
      </c>
      <c r="U77" s="147">
        <v>70</v>
      </c>
      <c r="V77" s="152">
        <f>H77/D77*100</f>
        <v>154.14258188824664</v>
      </c>
      <c r="W77" s="152">
        <f>I77/H77*100</f>
        <v>100.62500000000001</v>
      </c>
      <c r="X77" s="350"/>
      <c r="Y77" s="350"/>
      <c r="Z77" s="350"/>
      <c r="AA77" s="350"/>
      <c r="AB77" s="350"/>
    </row>
    <row r="78" spans="1:28" s="348" customFormat="1" ht="35.25" customHeight="1">
      <c r="A78" s="153"/>
      <c r="B78" s="794" t="s">
        <v>501</v>
      </c>
      <c r="C78" s="148" t="s">
        <v>500</v>
      </c>
      <c r="D78" s="148">
        <v>519</v>
      </c>
      <c r="E78" s="147">
        <v>800</v>
      </c>
      <c r="F78" s="147"/>
      <c r="G78" s="147">
        <v>519</v>
      </c>
      <c r="H78" s="147">
        <f>E78</f>
        <v>800</v>
      </c>
      <c r="I78" s="147">
        <f>SUM(J78:U78)</f>
        <v>805</v>
      </c>
      <c r="J78" s="147">
        <v>35</v>
      </c>
      <c r="K78" s="147">
        <v>70</v>
      </c>
      <c r="L78" s="147">
        <v>70</v>
      </c>
      <c r="M78" s="147">
        <v>70</v>
      </c>
      <c r="N78" s="147">
        <v>70</v>
      </c>
      <c r="O78" s="147">
        <v>70</v>
      </c>
      <c r="P78" s="147">
        <v>70</v>
      </c>
      <c r="Q78" s="147">
        <v>70</v>
      </c>
      <c r="R78" s="147">
        <v>70</v>
      </c>
      <c r="S78" s="147">
        <v>70</v>
      </c>
      <c r="T78" s="147">
        <v>70</v>
      </c>
      <c r="U78" s="147">
        <v>70</v>
      </c>
      <c r="V78" s="152">
        <f>H78/D78*100</f>
        <v>154.14258188824664</v>
      </c>
      <c r="W78" s="152">
        <f>I78/H78*100</f>
        <v>100.62500000000001</v>
      </c>
      <c r="X78" s="352"/>
      <c r="Y78" s="353"/>
      <c r="Z78" s="353"/>
      <c r="AA78" s="353"/>
      <c r="AB78" s="353"/>
    </row>
    <row r="79" spans="1:23" s="279" customFormat="1" ht="24.75" customHeight="1" hidden="1">
      <c r="A79" s="135"/>
      <c r="B79" s="192" t="s">
        <v>39</v>
      </c>
      <c r="C79" s="135" t="s">
        <v>36</v>
      </c>
      <c r="D79" s="136"/>
      <c r="E79" s="137"/>
      <c r="F79" s="138"/>
      <c r="G79" s="138"/>
      <c r="H79" s="138"/>
      <c r="I79" s="268">
        <f aca="true" t="shared" si="29" ref="I79:I84">SUM(J79:U79)</f>
        <v>0</v>
      </c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86"/>
      <c r="W79" s="86"/>
    </row>
    <row r="80" spans="1:23" s="280" customFormat="1" ht="24.75" customHeight="1" hidden="1">
      <c r="A80" s="66">
        <v>1</v>
      </c>
      <c r="B80" s="193" t="s">
        <v>176</v>
      </c>
      <c r="C80" s="64" t="s">
        <v>36</v>
      </c>
      <c r="D80" s="88"/>
      <c r="E80" s="62"/>
      <c r="F80" s="71"/>
      <c r="G80" s="71"/>
      <c r="H80" s="71"/>
      <c r="I80" s="269">
        <f t="shared" si="29"/>
        <v>0</v>
      </c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87"/>
      <c r="W80" s="87"/>
    </row>
    <row r="81" spans="1:23" s="280" customFormat="1" ht="24.75" customHeight="1" hidden="1">
      <c r="A81" s="64"/>
      <c r="B81" s="194" t="s">
        <v>40</v>
      </c>
      <c r="C81" s="64" t="s">
        <v>36</v>
      </c>
      <c r="D81" s="88"/>
      <c r="E81" s="62"/>
      <c r="F81" s="71"/>
      <c r="G81" s="71"/>
      <c r="H81" s="71"/>
      <c r="I81" s="269">
        <f t="shared" si="29"/>
        <v>0</v>
      </c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87"/>
      <c r="W81" s="87"/>
    </row>
    <row r="82" spans="1:23" s="280" customFormat="1" ht="24.75" customHeight="1" hidden="1">
      <c r="A82" s="64"/>
      <c r="B82" s="194" t="s">
        <v>177</v>
      </c>
      <c r="C82" s="64" t="s">
        <v>36</v>
      </c>
      <c r="D82" s="88"/>
      <c r="E82" s="62"/>
      <c r="F82" s="71"/>
      <c r="G82" s="71"/>
      <c r="H82" s="71"/>
      <c r="I82" s="269">
        <f t="shared" si="29"/>
        <v>0</v>
      </c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87"/>
      <c r="W82" s="87"/>
    </row>
    <row r="83" spans="1:23" s="280" customFormat="1" ht="24.75" customHeight="1" hidden="1">
      <c r="A83" s="64"/>
      <c r="B83" s="194" t="s">
        <v>22</v>
      </c>
      <c r="C83" s="64" t="s">
        <v>36</v>
      </c>
      <c r="D83" s="88"/>
      <c r="E83" s="62"/>
      <c r="F83" s="71"/>
      <c r="G83" s="71"/>
      <c r="H83" s="71"/>
      <c r="I83" s="269">
        <f t="shared" si="29"/>
        <v>0</v>
      </c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87"/>
      <c r="W83" s="87"/>
    </row>
    <row r="84" spans="1:23" s="280" customFormat="1" ht="24.75" customHeight="1" hidden="1">
      <c r="A84" s="64"/>
      <c r="B84" s="194" t="s">
        <v>41</v>
      </c>
      <c r="C84" s="64" t="s">
        <v>36</v>
      </c>
      <c r="D84" s="88"/>
      <c r="E84" s="62"/>
      <c r="F84" s="71"/>
      <c r="G84" s="71"/>
      <c r="H84" s="71"/>
      <c r="I84" s="269">
        <f t="shared" si="29"/>
        <v>0</v>
      </c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87"/>
      <c r="W84" s="87"/>
    </row>
    <row r="85" spans="1:23" s="67" customFormat="1" ht="24.75" customHeight="1" hidden="1">
      <c r="A85" s="66" t="s">
        <v>169</v>
      </c>
      <c r="B85" s="193" t="s">
        <v>220</v>
      </c>
      <c r="C85" s="66" t="s">
        <v>36</v>
      </c>
      <c r="D85" s="89"/>
      <c r="E85" s="65"/>
      <c r="F85" s="72"/>
      <c r="G85" s="72"/>
      <c r="H85" s="72"/>
      <c r="I85" s="269">
        <f>I86+I89+I90</f>
        <v>0</v>
      </c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87"/>
      <c r="W85" s="87"/>
    </row>
    <row r="86" spans="1:23" s="281" customFormat="1" ht="24.75" customHeight="1" hidden="1">
      <c r="A86" s="61"/>
      <c r="B86" s="195" t="s">
        <v>295</v>
      </c>
      <c r="C86" s="61" t="s">
        <v>36</v>
      </c>
      <c r="D86" s="58"/>
      <c r="E86" s="57"/>
      <c r="F86" s="70"/>
      <c r="G86" s="70"/>
      <c r="H86" s="70"/>
      <c r="I86" s="270">
        <v>0</v>
      </c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68"/>
      <c r="W86" s="68"/>
    </row>
    <row r="87" spans="1:23" s="281" customFormat="1" ht="24.75" customHeight="1" hidden="1">
      <c r="A87" s="61"/>
      <c r="B87" s="195" t="s">
        <v>246</v>
      </c>
      <c r="C87" s="61" t="s">
        <v>36</v>
      </c>
      <c r="D87" s="58"/>
      <c r="E87" s="57"/>
      <c r="F87" s="70"/>
      <c r="G87" s="70"/>
      <c r="H87" s="70"/>
      <c r="I87" s="270">
        <f>SUM(J87:U87)</f>
        <v>0</v>
      </c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68"/>
      <c r="W87" s="68"/>
    </row>
    <row r="88" spans="1:23" s="281" customFormat="1" ht="24.75" customHeight="1" hidden="1">
      <c r="A88" s="61"/>
      <c r="B88" s="196" t="s">
        <v>247</v>
      </c>
      <c r="C88" s="61" t="s">
        <v>36</v>
      </c>
      <c r="D88" s="58"/>
      <c r="E88" s="57"/>
      <c r="F88" s="70"/>
      <c r="G88" s="70"/>
      <c r="H88" s="70"/>
      <c r="I88" s="270">
        <v>0</v>
      </c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68"/>
      <c r="W88" s="68"/>
    </row>
    <row r="89" spans="1:23" s="281" customFormat="1" ht="24.75" customHeight="1" hidden="1">
      <c r="A89" s="61"/>
      <c r="B89" s="195" t="s">
        <v>294</v>
      </c>
      <c r="C89" s="61" t="s">
        <v>36</v>
      </c>
      <c r="D89" s="58"/>
      <c r="E89" s="57"/>
      <c r="F89" s="70"/>
      <c r="G89" s="70"/>
      <c r="H89" s="70"/>
      <c r="I89" s="270">
        <v>0</v>
      </c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68"/>
      <c r="W89" s="68"/>
    </row>
    <row r="90" spans="1:23" s="281" customFormat="1" ht="24.75" customHeight="1" hidden="1">
      <c r="A90" s="61"/>
      <c r="B90" s="195" t="s">
        <v>296</v>
      </c>
      <c r="C90" s="61" t="s">
        <v>36</v>
      </c>
      <c r="D90" s="58"/>
      <c r="E90" s="57"/>
      <c r="F90" s="70"/>
      <c r="G90" s="70"/>
      <c r="H90" s="70"/>
      <c r="I90" s="270">
        <f>SUM(J90:U90)</f>
        <v>0</v>
      </c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68"/>
      <c r="W90" s="68"/>
    </row>
    <row r="91" spans="1:23" s="281" customFormat="1" ht="24.75" customHeight="1" hidden="1">
      <c r="A91" s="61"/>
      <c r="B91" s="195" t="s">
        <v>162</v>
      </c>
      <c r="C91" s="61"/>
      <c r="D91" s="58"/>
      <c r="E91" s="57"/>
      <c r="F91" s="70"/>
      <c r="G91" s="70"/>
      <c r="H91" s="70"/>
      <c r="I91" s="270">
        <f>SUM(J91:U91)</f>
        <v>0</v>
      </c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68"/>
      <c r="W91" s="68"/>
    </row>
    <row r="92" spans="1:23" s="281" customFormat="1" ht="24.75" customHeight="1" hidden="1">
      <c r="A92" s="61"/>
      <c r="B92" s="195" t="s">
        <v>221</v>
      </c>
      <c r="C92" s="61" t="s">
        <v>36</v>
      </c>
      <c r="D92" s="58"/>
      <c r="E92" s="57"/>
      <c r="F92" s="70"/>
      <c r="G92" s="70"/>
      <c r="H92" s="70"/>
      <c r="I92" s="270">
        <f>SUM(J92:U92)</f>
        <v>0</v>
      </c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68"/>
      <c r="W92" s="68"/>
    </row>
    <row r="93" spans="1:23" s="67" customFormat="1" ht="24.75" customHeight="1" hidden="1">
      <c r="A93" s="66" t="s">
        <v>170</v>
      </c>
      <c r="B93" s="193" t="s">
        <v>180</v>
      </c>
      <c r="C93" s="66" t="s">
        <v>36</v>
      </c>
      <c r="D93" s="89">
        <f aca="true" t="shared" si="30" ref="D93:U93">D94</f>
        <v>344</v>
      </c>
      <c r="E93" s="65">
        <f t="shared" si="30"/>
        <v>580</v>
      </c>
      <c r="F93" s="72">
        <v>105</v>
      </c>
      <c r="G93" s="72"/>
      <c r="H93" s="72">
        <f t="shared" si="30"/>
        <v>580</v>
      </c>
      <c r="I93" s="65">
        <f t="shared" si="30"/>
        <v>560</v>
      </c>
      <c r="J93" s="65">
        <f t="shared" si="30"/>
        <v>35</v>
      </c>
      <c r="K93" s="65">
        <f t="shared" si="30"/>
        <v>35</v>
      </c>
      <c r="L93" s="65">
        <f t="shared" si="30"/>
        <v>35</v>
      </c>
      <c r="M93" s="65">
        <f t="shared" si="30"/>
        <v>35</v>
      </c>
      <c r="N93" s="65">
        <f t="shared" si="30"/>
        <v>70</v>
      </c>
      <c r="O93" s="65">
        <f t="shared" si="30"/>
        <v>70</v>
      </c>
      <c r="P93" s="65">
        <f t="shared" si="30"/>
        <v>35</v>
      </c>
      <c r="Q93" s="65">
        <f t="shared" si="30"/>
        <v>70</v>
      </c>
      <c r="R93" s="65">
        <f t="shared" si="30"/>
        <v>35</v>
      </c>
      <c r="S93" s="65">
        <f t="shared" si="30"/>
        <v>35</v>
      </c>
      <c r="T93" s="65">
        <f t="shared" si="30"/>
        <v>70</v>
      </c>
      <c r="U93" s="65">
        <f t="shared" si="30"/>
        <v>35</v>
      </c>
      <c r="V93" s="87">
        <f>H93/D93*100</f>
        <v>168.6046511627907</v>
      </c>
      <c r="W93" s="87">
        <f>I93/H93*100</f>
        <v>96.55172413793103</v>
      </c>
    </row>
    <row r="94" spans="1:23" s="281" customFormat="1" ht="24.75" customHeight="1" hidden="1">
      <c r="A94" s="61"/>
      <c r="B94" s="195" t="s">
        <v>41</v>
      </c>
      <c r="C94" s="61" t="s">
        <v>36</v>
      </c>
      <c r="D94" s="58">
        <v>344</v>
      </c>
      <c r="E94" s="57">
        <v>580</v>
      </c>
      <c r="F94" s="70">
        <v>105</v>
      </c>
      <c r="G94" s="70"/>
      <c r="H94" s="70">
        <v>580</v>
      </c>
      <c r="I94" s="270">
        <f>SUM(J94:U94)</f>
        <v>560</v>
      </c>
      <c r="J94" s="60">
        <v>35</v>
      </c>
      <c r="K94" s="60">
        <v>35</v>
      </c>
      <c r="L94" s="60">
        <v>35</v>
      </c>
      <c r="M94" s="60">
        <v>35</v>
      </c>
      <c r="N94" s="60">
        <v>70</v>
      </c>
      <c r="O94" s="60">
        <v>70</v>
      </c>
      <c r="P94" s="60">
        <v>35</v>
      </c>
      <c r="Q94" s="60">
        <v>70</v>
      </c>
      <c r="R94" s="60">
        <v>35</v>
      </c>
      <c r="S94" s="60">
        <v>35</v>
      </c>
      <c r="T94" s="60">
        <v>70</v>
      </c>
      <c r="U94" s="60">
        <v>35</v>
      </c>
      <c r="V94" s="68">
        <f>H94/D94*100</f>
        <v>168.6046511627907</v>
      </c>
      <c r="W94" s="68">
        <f>I94/H94*100</f>
        <v>96.55172413793103</v>
      </c>
    </row>
    <row r="95" spans="1:23" s="281" customFormat="1" ht="24.75" customHeight="1" hidden="1">
      <c r="A95" s="61"/>
      <c r="B95" s="196" t="s">
        <v>288</v>
      </c>
      <c r="C95" s="61" t="s">
        <v>36</v>
      </c>
      <c r="D95" s="58">
        <v>344</v>
      </c>
      <c r="E95" s="57">
        <v>580</v>
      </c>
      <c r="F95" s="70">
        <v>105</v>
      </c>
      <c r="G95" s="70"/>
      <c r="H95" s="70">
        <v>580</v>
      </c>
      <c r="I95" s="270">
        <f>SUM(J95:U95)</f>
        <v>560</v>
      </c>
      <c r="J95" s="60">
        <v>35</v>
      </c>
      <c r="K95" s="60">
        <v>35</v>
      </c>
      <c r="L95" s="60">
        <v>35</v>
      </c>
      <c r="M95" s="60">
        <v>35</v>
      </c>
      <c r="N95" s="60">
        <v>70</v>
      </c>
      <c r="O95" s="60">
        <v>70</v>
      </c>
      <c r="P95" s="60">
        <v>35</v>
      </c>
      <c r="Q95" s="60">
        <v>70</v>
      </c>
      <c r="R95" s="60">
        <v>35</v>
      </c>
      <c r="S95" s="60">
        <v>35</v>
      </c>
      <c r="T95" s="60">
        <v>70</v>
      </c>
      <c r="U95" s="60">
        <v>35</v>
      </c>
      <c r="V95" s="68">
        <f>H95/D95*100</f>
        <v>168.6046511627907</v>
      </c>
      <c r="W95" s="68">
        <f>I95/H95*100</f>
        <v>96.55172413793103</v>
      </c>
    </row>
    <row r="96" spans="1:23" s="67" customFormat="1" ht="24.75" customHeight="1" hidden="1">
      <c r="A96" s="66" t="s">
        <v>171</v>
      </c>
      <c r="B96" s="193" t="s">
        <v>42</v>
      </c>
      <c r="C96" s="66" t="s">
        <v>36</v>
      </c>
      <c r="D96" s="89"/>
      <c r="E96" s="65"/>
      <c r="F96" s="72"/>
      <c r="G96" s="72"/>
      <c r="H96" s="72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87"/>
      <c r="W96" s="87"/>
    </row>
    <row r="97" spans="2:23" s="63" customFormat="1" ht="31.5" customHeight="1" hidden="1">
      <c r="B97" s="197" t="s">
        <v>289</v>
      </c>
      <c r="C97" s="63" t="s">
        <v>36</v>
      </c>
      <c r="D97" s="60"/>
      <c r="E97" s="60"/>
      <c r="F97" s="59"/>
      <c r="G97" s="59"/>
      <c r="H97" s="59"/>
      <c r="I97" s="270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68"/>
      <c r="W97" s="68"/>
    </row>
    <row r="99" spans="9:21" ht="15.75"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</row>
    <row r="100" spans="9:21" ht="15.75">
      <c r="I100" s="53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</row>
    <row r="101" ht="15.75">
      <c r="I101" s="53"/>
    </row>
    <row r="102" spans="9:21" ht="15.75">
      <c r="I102" s="53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</row>
    <row r="103" ht="15.75">
      <c r="J103" s="54"/>
    </row>
    <row r="104" ht="15.75">
      <c r="E104" s="90"/>
    </row>
    <row r="105" ht="15.75">
      <c r="K105" s="53"/>
    </row>
    <row r="111" spans="1:23" ht="15.75">
      <c r="A111" s="23"/>
      <c r="B111" s="199"/>
      <c r="E111" s="27"/>
      <c r="F111" s="73"/>
      <c r="G111" s="73"/>
      <c r="H111" s="339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3"/>
      <c r="W111" s="3"/>
    </row>
    <row r="112" spans="1:23" ht="15.75">
      <c r="A112" s="23"/>
      <c r="B112" s="200"/>
      <c r="D112" s="24"/>
      <c r="E112" s="27"/>
      <c r="F112" s="73"/>
      <c r="G112" s="73"/>
      <c r="H112" s="339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3"/>
      <c r="W112" s="3"/>
    </row>
    <row r="113" spans="1:23" ht="15.75">
      <c r="A113" s="23"/>
      <c r="B113" s="200"/>
      <c r="E113" s="27"/>
      <c r="F113" s="73"/>
      <c r="G113" s="73"/>
      <c r="H113" s="339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3"/>
      <c r="W113" s="3"/>
    </row>
    <row r="114" spans="1:23" ht="15.75">
      <c r="A114" s="23"/>
      <c r="B114" s="200"/>
      <c r="E114" s="27"/>
      <c r="F114" s="73"/>
      <c r="G114" s="73"/>
      <c r="H114" s="339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3"/>
      <c r="W114" s="3"/>
    </row>
    <row r="115" ht="15.75">
      <c r="B115" s="200"/>
    </row>
    <row r="116" ht="15.75">
      <c r="B116" s="201"/>
    </row>
    <row r="117" ht="15.75">
      <c r="B117" s="200"/>
    </row>
    <row r="118" ht="15.75">
      <c r="B118" s="200"/>
    </row>
    <row r="119" ht="15.75">
      <c r="B119" s="200"/>
    </row>
    <row r="120" ht="15.75">
      <c r="B120" s="200"/>
    </row>
    <row r="121" ht="15.75">
      <c r="B121" s="200"/>
    </row>
    <row r="122" ht="15.75">
      <c r="B122" s="201"/>
    </row>
    <row r="123" spans="1:4" ht="15.75">
      <c r="A123" s="20"/>
      <c r="B123" s="202"/>
      <c r="C123" s="20"/>
      <c r="D123" s="20"/>
    </row>
    <row r="124" spans="2:21" s="20" customFormat="1" ht="20.25" customHeight="1">
      <c r="B124" s="202"/>
      <c r="E124" s="29"/>
      <c r="F124" s="25"/>
      <c r="G124" s="25"/>
      <c r="H124" s="340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</row>
    <row r="125" spans="2:21" s="20" customFormat="1" ht="20.25" customHeight="1">
      <c r="B125" s="202"/>
      <c r="E125" s="29"/>
      <c r="F125" s="25"/>
      <c r="G125" s="25"/>
      <c r="H125" s="340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</row>
    <row r="126" spans="2:21" s="20" customFormat="1" ht="20.25" customHeight="1">
      <c r="B126" s="202"/>
      <c r="E126" s="29"/>
      <c r="F126" s="25"/>
      <c r="G126" s="25"/>
      <c r="H126" s="340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</row>
    <row r="127" spans="2:21" s="20" customFormat="1" ht="20.25" customHeight="1">
      <c r="B127" s="202"/>
      <c r="E127" s="29"/>
      <c r="F127" s="25"/>
      <c r="G127" s="25"/>
      <c r="H127" s="340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</row>
    <row r="128" spans="2:21" s="20" customFormat="1" ht="20.25" customHeight="1">
      <c r="B128" s="202"/>
      <c r="E128" s="29"/>
      <c r="F128" s="25"/>
      <c r="G128" s="25"/>
      <c r="H128" s="340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</row>
    <row r="129" spans="2:21" s="20" customFormat="1" ht="20.25" customHeight="1">
      <c r="B129" s="202"/>
      <c r="E129" s="29"/>
      <c r="F129" s="25"/>
      <c r="G129" s="25"/>
      <c r="H129" s="340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</row>
    <row r="130" spans="2:21" s="20" customFormat="1" ht="20.25" customHeight="1">
      <c r="B130" s="202"/>
      <c r="E130" s="29"/>
      <c r="F130" s="25"/>
      <c r="G130" s="25"/>
      <c r="H130" s="340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</row>
    <row r="131" spans="2:21" s="20" customFormat="1" ht="20.25" customHeight="1">
      <c r="B131" s="202"/>
      <c r="E131" s="29"/>
      <c r="F131" s="25"/>
      <c r="G131" s="25"/>
      <c r="H131" s="340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</row>
    <row r="132" spans="2:21" s="20" customFormat="1" ht="20.25" customHeight="1">
      <c r="B132" s="202"/>
      <c r="E132" s="29"/>
      <c r="F132" s="25"/>
      <c r="G132" s="25"/>
      <c r="H132" s="340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</row>
    <row r="133" spans="2:21" s="20" customFormat="1" ht="20.25" customHeight="1">
      <c r="B133" s="202"/>
      <c r="E133" s="29"/>
      <c r="F133" s="25"/>
      <c r="G133" s="25"/>
      <c r="H133" s="340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</row>
    <row r="134" spans="2:21" s="20" customFormat="1" ht="20.25" customHeight="1">
      <c r="B134" s="202"/>
      <c r="E134" s="29"/>
      <c r="F134" s="25"/>
      <c r="G134" s="25"/>
      <c r="H134" s="340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</row>
    <row r="135" spans="2:21" s="20" customFormat="1" ht="20.25" customHeight="1">
      <c r="B135" s="202"/>
      <c r="E135" s="29"/>
      <c r="F135" s="25"/>
      <c r="G135" s="25"/>
      <c r="H135" s="340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</row>
    <row r="136" spans="2:21" s="20" customFormat="1" ht="15">
      <c r="B136" s="202"/>
      <c r="E136" s="29"/>
      <c r="F136" s="25"/>
      <c r="G136" s="25"/>
      <c r="H136" s="340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</row>
    <row r="137" spans="1:21" s="20" customFormat="1" ht="15">
      <c r="A137" s="25"/>
      <c r="B137" s="202"/>
      <c r="E137" s="29"/>
      <c r="F137" s="25"/>
      <c r="G137" s="25"/>
      <c r="H137" s="340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</row>
  </sheetData>
  <sheetProtection/>
  <mergeCells count="19">
    <mergeCell ref="W7:W8"/>
    <mergeCell ref="C6:C8"/>
    <mergeCell ref="D6:D8"/>
    <mergeCell ref="E7:E8"/>
    <mergeCell ref="E6:H6"/>
    <mergeCell ref="F7:F8"/>
    <mergeCell ref="H7:H8"/>
    <mergeCell ref="V6:W6"/>
    <mergeCell ref="G7:G8"/>
    <mergeCell ref="B6:B8"/>
    <mergeCell ref="A6:A8"/>
    <mergeCell ref="A2:W2"/>
    <mergeCell ref="A3:W3"/>
    <mergeCell ref="A4:W4"/>
    <mergeCell ref="A5:W5"/>
    <mergeCell ref="I7:I8"/>
    <mergeCell ref="J7:U7"/>
    <mergeCell ref="I6:U6"/>
    <mergeCell ref="V7:V8"/>
  </mergeCells>
  <printOptions/>
  <pageMargins left="0.31496062992125984" right="0.11811023622047245" top="0.5905511811023623" bottom="0.35433070866141736" header="0.1968503937007874" footer="0.1968503937007874"/>
  <pageSetup horizontalDpi="600" verticalDpi="600" orientation="landscape" paperSize="9" scale="60" r:id="rId4"/>
  <colBreaks count="1" manualBreakCount="1">
    <brk id="23" max="99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R108"/>
  <sheetViews>
    <sheetView view="pageBreakPreview" zoomScale="115" zoomScaleSheetLayoutView="115" zoomScalePageLayoutView="0" workbookViewId="0" topLeftCell="A24">
      <selection activeCell="G34" sqref="G34"/>
    </sheetView>
  </sheetViews>
  <sheetFormatPr defaultColWidth="9.140625" defaultRowHeight="12.75"/>
  <cols>
    <col min="1" max="1" width="4.57421875" style="13" customWidth="1"/>
    <col min="2" max="2" width="29.7109375" style="7" customWidth="1"/>
    <col min="3" max="3" width="8.8515625" style="7" customWidth="1"/>
    <col min="4" max="4" width="7.00390625" style="7" customWidth="1"/>
    <col min="5" max="5" width="6.8515625" style="7" customWidth="1"/>
    <col min="6" max="6" width="7.140625" style="7" hidden="1" customWidth="1"/>
    <col min="7" max="7" width="8.140625" style="7" customWidth="1"/>
    <col min="8" max="8" width="7.140625" style="710" customWidth="1"/>
    <col min="9" max="9" width="6.28125" style="7" customWidth="1"/>
    <col min="10" max="10" width="7.00390625" style="7" customWidth="1"/>
    <col min="11" max="11" width="5.8515625" style="186" customWidth="1"/>
    <col min="12" max="12" width="6.7109375" style="7" customWidth="1"/>
    <col min="13" max="13" width="6.28125" style="7" customWidth="1"/>
    <col min="14" max="14" width="5.8515625" style="7" customWidth="1"/>
    <col min="15" max="15" width="6.7109375" style="7" customWidth="1"/>
    <col min="16" max="17" width="5.8515625" style="7" customWidth="1"/>
    <col min="18" max="18" width="6.421875" style="7" customWidth="1"/>
    <col min="19" max="19" width="6.57421875" style="7" customWidth="1"/>
    <col min="20" max="20" width="6.421875" style="7" customWidth="1"/>
    <col min="21" max="21" width="13.57421875" style="7" customWidth="1"/>
    <col min="22" max="22" width="14.00390625" style="7" customWidth="1"/>
    <col min="23" max="23" width="10.28125" style="7" customWidth="1"/>
    <col min="24" max="24" width="3.421875" style="7" hidden="1" customWidth="1"/>
    <col min="25" max="25" width="37.7109375" style="7" hidden="1" customWidth="1"/>
    <col min="26" max="26" width="7.57421875" style="7" hidden="1" customWidth="1"/>
    <col min="27" max="27" width="9.57421875" style="7" hidden="1" customWidth="1"/>
    <col min="28" max="28" width="9.8515625" style="7" hidden="1" customWidth="1"/>
    <col min="29" max="29" width="9.421875" style="7" hidden="1" customWidth="1"/>
    <col min="30" max="30" width="9.28125" style="7" hidden="1" customWidth="1"/>
    <col min="31" max="32" width="8.7109375" style="7" hidden="1" customWidth="1"/>
    <col min="33" max="33" width="7.8515625" style="7" hidden="1" customWidth="1"/>
    <col min="34" max="34" width="8.7109375" style="7" hidden="1" customWidth="1"/>
    <col min="35" max="35" width="8.57421875" style="7" hidden="1" customWidth="1"/>
    <col min="36" max="36" width="7.8515625" style="7" hidden="1" customWidth="1"/>
    <col min="37" max="38" width="8.421875" style="7" hidden="1" customWidth="1"/>
    <col min="39" max="39" width="0" style="7" hidden="1" customWidth="1"/>
    <col min="40" max="40" width="10.7109375" style="7" customWidth="1"/>
    <col min="41" max="16384" width="9.140625" style="7" customWidth="1"/>
  </cols>
  <sheetData>
    <row r="1" spans="1:22" ht="16.5">
      <c r="A1" s="747" t="s">
        <v>623</v>
      </c>
      <c r="B1" s="747"/>
      <c r="C1" s="6"/>
      <c r="D1" s="6"/>
      <c r="E1" s="6"/>
      <c r="F1" s="6"/>
      <c r="G1" s="6"/>
      <c r="H1" s="709"/>
      <c r="I1" s="6"/>
      <c r="J1" s="6"/>
      <c r="K1" s="18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3" s="9" customFormat="1" ht="20.25" customHeight="1">
      <c r="A2" s="748" t="s">
        <v>650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8"/>
    </row>
    <row r="3" spans="1:23" s="9" customFormat="1" ht="21" customHeight="1">
      <c r="A3" s="749" t="str">
        <f>' Bieu 3 LDVT'!A4:W4</f>
        <v>(Kèm theo Kế hoạch số:              /KH-UBND ngày     /    /2023 của UBND huyện Tủa Chùa)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8"/>
    </row>
    <row r="4" spans="1:22" ht="18" customHeight="1">
      <c r="A4" s="299"/>
      <c r="B4" s="300"/>
      <c r="C4" s="30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750"/>
      <c r="Q4" s="750"/>
      <c r="R4" s="750"/>
      <c r="S4" s="750"/>
      <c r="T4" s="750"/>
      <c r="U4" s="750"/>
      <c r="V4" s="750"/>
    </row>
    <row r="5" spans="1:148" s="11" customFormat="1" ht="45" customHeight="1">
      <c r="A5" s="821" t="s">
        <v>43</v>
      </c>
      <c r="B5" s="822" t="s">
        <v>166</v>
      </c>
      <c r="C5" s="821" t="s">
        <v>44</v>
      </c>
      <c r="D5" s="821" t="s">
        <v>651</v>
      </c>
      <c r="E5" s="823" t="s">
        <v>652</v>
      </c>
      <c r="F5" s="824"/>
      <c r="G5" s="825"/>
      <c r="H5" s="826" t="s">
        <v>653</v>
      </c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8"/>
      <c r="U5" s="829" t="s">
        <v>2</v>
      </c>
      <c r="V5" s="830"/>
      <c r="W5" s="10"/>
      <c r="X5" s="751"/>
      <c r="Y5" s="753" t="s">
        <v>48</v>
      </c>
      <c r="Z5" s="751" t="s">
        <v>44</v>
      </c>
      <c r="AA5" s="751" t="s">
        <v>45</v>
      </c>
      <c r="AB5" s="751" t="s">
        <v>49</v>
      </c>
      <c r="AC5" s="751" t="s">
        <v>46</v>
      </c>
      <c r="AD5" s="752" t="s">
        <v>47</v>
      </c>
      <c r="AE5" s="752"/>
      <c r="AF5" s="752"/>
      <c r="AG5" s="752"/>
      <c r="AH5" s="752"/>
      <c r="AI5" s="752"/>
      <c r="AJ5" s="752"/>
      <c r="AK5" s="752"/>
      <c r="AL5" s="752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</row>
    <row r="6" spans="1:148" s="11" customFormat="1" ht="22.5" customHeight="1">
      <c r="A6" s="831"/>
      <c r="B6" s="832"/>
      <c r="C6" s="831"/>
      <c r="D6" s="831"/>
      <c r="E6" s="833" t="s">
        <v>532</v>
      </c>
      <c r="F6" s="834" t="s">
        <v>354</v>
      </c>
      <c r="G6" s="834" t="s">
        <v>353</v>
      </c>
      <c r="H6" s="835" t="s">
        <v>319</v>
      </c>
      <c r="I6" s="836" t="s">
        <v>183</v>
      </c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5"/>
      <c r="U6" s="837" t="s">
        <v>654</v>
      </c>
      <c r="V6" s="837" t="s">
        <v>655</v>
      </c>
      <c r="W6" s="10"/>
      <c r="X6" s="751"/>
      <c r="Y6" s="753"/>
      <c r="Z6" s="751"/>
      <c r="AA6" s="751"/>
      <c r="AB6" s="751"/>
      <c r="AC6" s="751"/>
      <c r="AD6" s="14"/>
      <c r="AE6" s="14"/>
      <c r="AF6" s="14"/>
      <c r="AG6" s="14"/>
      <c r="AH6" s="14"/>
      <c r="AI6" s="14"/>
      <c r="AJ6" s="14"/>
      <c r="AK6" s="14"/>
      <c r="AL6" s="14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</row>
    <row r="7" spans="1:148" s="11" customFormat="1" ht="49.5" customHeight="1">
      <c r="A7" s="838"/>
      <c r="B7" s="839"/>
      <c r="C7" s="838"/>
      <c r="D7" s="838"/>
      <c r="E7" s="840"/>
      <c r="F7" s="841"/>
      <c r="G7" s="841"/>
      <c r="H7" s="840"/>
      <c r="I7" s="842" t="s">
        <v>505</v>
      </c>
      <c r="J7" s="842" t="s">
        <v>506</v>
      </c>
      <c r="K7" s="842" t="s">
        <v>507</v>
      </c>
      <c r="L7" s="842" t="s">
        <v>508</v>
      </c>
      <c r="M7" s="842" t="s">
        <v>482</v>
      </c>
      <c r="N7" s="842" t="s">
        <v>326</v>
      </c>
      <c r="O7" s="842" t="s">
        <v>328</v>
      </c>
      <c r="P7" s="842" t="s">
        <v>502</v>
      </c>
      <c r="Q7" s="842" t="s">
        <v>555</v>
      </c>
      <c r="R7" s="842" t="s">
        <v>331</v>
      </c>
      <c r="S7" s="842" t="s">
        <v>503</v>
      </c>
      <c r="T7" s="842" t="s">
        <v>504</v>
      </c>
      <c r="U7" s="834"/>
      <c r="V7" s="834"/>
      <c r="W7" s="10"/>
      <c r="X7" s="751"/>
      <c r="Y7" s="753"/>
      <c r="Z7" s="751"/>
      <c r="AA7" s="751"/>
      <c r="AB7" s="751"/>
      <c r="AC7" s="751"/>
      <c r="AD7" s="12" t="s">
        <v>50</v>
      </c>
      <c r="AE7" s="12" t="s">
        <v>51</v>
      </c>
      <c r="AF7" s="12" t="s">
        <v>52</v>
      </c>
      <c r="AG7" s="12" t="s">
        <v>53</v>
      </c>
      <c r="AH7" s="12" t="s">
        <v>54</v>
      </c>
      <c r="AI7" s="12" t="s">
        <v>55</v>
      </c>
      <c r="AJ7" s="12" t="s">
        <v>56</v>
      </c>
      <c r="AK7" s="12" t="s">
        <v>57</v>
      </c>
      <c r="AL7" s="12" t="s">
        <v>58</v>
      </c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</row>
    <row r="8" spans="1:38" s="355" customFormat="1" ht="21.75" customHeight="1">
      <c r="A8" s="843"/>
      <c r="B8" s="844" t="s">
        <v>59</v>
      </c>
      <c r="C8" s="843" t="s">
        <v>509</v>
      </c>
      <c r="D8" s="845">
        <f>D10+D27+D58</f>
        <v>21034</v>
      </c>
      <c r="E8" s="845">
        <f>E10+E27+E58</f>
        <v>22213</v>
      </c>
      <c r="F8" s="845">
        <f>F10+F27+F58</f>
        <v>17888</v>
      </c>
      <c r="G8" s="845">
        <f>G10+G27+G58</f>
        <v>22213</v>
      </c>
      <c r="H8" s="845">
        <f>H10+H27+H58</f>
        <v>22004</v>
      </c>
      <c r="I8" s="845">
        <f aca="true" t="shared" si="0" ref="I8:T8">I10+I27+I58</f>
        <v>3626</v>
      </c>
      <c r="J8" s="845">
        <f t="shared" si="0"/>
        <v>2007</v>
      </c>
      <c r="K8" s="845">
        <f t="shared" si="0"/>
        <v>3040</v>
      </c>
      <c r="L8" s="845">
        <f t="shared" si="0"/>
        <v>1251</v>
      </c>
      <c r="M8" s="845">
        <f t="shared" si="0"/>
        <v>1944</v>
      </c>
      <c r="N8" s="845">
        <f t="shared" si="0"/>
        <v>2292</v>
      </c>
      <c r="O8" s="845">
        <f t="shared" si="0"/>
        <v>1242</v>
      </c>
      <c r="P8" s="845">
        <f t="shared" si="0"/>
        <v>1346</v>
      </c>
      <c r="Q8" s="845">
        <f t="shared" si="0"/>
        <v>918</v>
      </c>
      <c r="R8" s="845">
        <f t="shared" si="0"/>
        <v>1835</v>
      </c>
      <c r="S8" s="845">
        <f t="shared" si="0"/>
        <v>1678</v>
      </c>
      <c r="T8" s="845">
        <f t="shared" si="0"/>
        <v>825</v>
      </c>
      <c r="U8" s="846">
        <f>G8/D8*100</f>
        <v>105.60521061139107</v>
      </c>
      <c r="V8" s="846">
        <f>H8/G8%</f>
        <v>99.05910953045515</v>
      </c>
      <c r="X8" s="358" t="s">
        <v>167</v>
      </c>
      <c r="Y8" s="410" t="s">
        <v>59</v>
      </c>
      <c r="Z8" s="358"/>
      <c r="AA8" s="361" t="e">
        <f>AA9+AA26</f>
        <v>#REF!</v>
      </c>
      <c r="AB8" s="361" t="e">
        <f>AB9+AB26</f>
        <v>#REF!</v>
      </c>
      <c r="AC8" s="361" t="e">
        <f>SUM(AD8:AL8)</f>
        <v>#REF!</v>
      </c>
      <c r="AD8" s="361" t="e">
        <f aca="true" t="shared" si="1" ref="AD8:AL8">AD9+AD26</f>
        <v>#REF!</v>
      </c>
      <c r="AE8" s="361" t="e">
        <f t="shared" si="1"/>
        <v>#REF!</v>
      </c>
      <c r="AF8" s="361" t="e">
        <f t="shared" si="1"/>
        <v>#REF!</v>
      </c>
      <c r="AG8" s="361" t="e">
        <f t="shared" si="1"/>
        <v>#REF!</v>
      </c>
      <c r="AH8" s="361" t="e">
        <f t="shared" si="1"/>
        <v>#REF!</v>
      </c>
      <c r="AI8" s="361" t="e">
        <f t="shared" si="1"/>
        <v>#REF!</v>
      </c>
      <c r="AJ8" s="361" t="e">
        <f t="shared" si="1"/>
        <v>#REF!</v>
      </c>
      <c r="AK8" s="361" t="e">
        <f t="shared" si="1"/>
        <v>#REF!</v>
      </c>
      <c r="AL8" s="361" t="e">
        <f t="shared" si="1"/>
        <v>#REF!</v>
      </c>
    </row>
    <row r="9" spans="1:38" s="355" customFormat="1" ht="16.5" customHeight="1">
      <c r="A9" s="843" t="s">
        <v>167</v>
      </c>
      <c r="B9" s="847" t="s">
        <v>61</v>
      </c>
      <c r="C9" s="843"/>
      <c r="D9" s="848"/>
      <c r="E9" s="848"/>
      <c r="F9" s="497"/>
      <c r="G9" s="849"/>
      <c r="H9" s="849"/>
      <c r="I9" s="849"/>
      <c r="J9" s="849"/>
      <c r="K9" s="850"/>
      <c r="L9" s="849"/>
      <c r="M9" s="849"/>
      <c r="N9" s="849"/>
      <c r="O9" s="849"/>
      <c r="P9" s="849"/>
      <c r="Q9" s="849"/>
      <c r="R9" s="849"/>
      <c r="S9" s="849"/>
      <c r="T9" s="849"/>
      <c r="U9" s="851"/>
      <c r="V9" s="852"/>
      <c r="X9" s="356">
        <v>1</v>
      </c>
      <c r="Y9" s="357" t="s">
        <v>61</v>
      </c>
      <c r="Z9" s="358" t="s">
        <v>60</v>
      </c>
      <c r="AA9" s="359">
        <f>30784+100</f>
        <v>30884</v>
      </c>
      <c r="AB9" s="360">
        <f>SUM(AB11:AB12)</f>
        <v>34671</v>
      </c>
      <c r="AC9" s="361">
        <f>SUM(AD9:AL9)</f>
        <v>35140</v>
      </c>
      <c r="AD9" s="362">
        <f>SUM(AD11:AD12)</f>
        <v>3680</v>
      </c>
      <c r="AE9" s="362">
        <f aca="true" t="shared" si="2" ref="AE9:AL9">SUM(AE11:AE12)</f>
        <v>7255</v>
      </c>
      <c r="AF9" s="362">
        <f t="shared" si="2"/>
        <v>4060</v>
      </c>
      <c r="AG9" s="362">
        <f t="shared" si="2"/>
        <v>870</v>
      </c>
      <c r="AH9" s="362">
        <f t="shared" si="2"/>
        <v>4450</v>
      </c>
      <c r="AI9" s="362">
        <f t="shared" si="2"/>
        <v>3755</v>
      </c>
      <c r="AJ9" s="362">
        <f t="shared" si="2"/>
        <v>3060</v>
      </c>
      <c r="AK9" s="362">
        <f t="shared" si="2"/>
        <v>5150</v>
      </c>
      <c r="AL9" s="362">
        <f t="shared" si="2"/>
        <v>2860</v>
      </c>
    </row>
    <row r="10" spans="1:38" s="355" customFormat="1" ht="16.5" customHeight="1">
      <c r="A10" s="843">
        <v>1</v>
      </c>
      <c r="B10" s="844" t="s">
        <v>264</v>
      </c>
      <c r="C10" s="843" t="s">
        <v>509</v>
      </c>
      <c r="D10" s="845">
        <f>D11+D12</f>
        <v>5873</v>
      </c>
      <c r="E10" s="845">
        <f>E11+E12</f>
        <v>5878</v>
      </c>
      <c r="F10" s="845">
        <f>F11+F12</f>
        <v>4879</v>
      </c>
      <c r="G10" s="845">
        <f>G11+G12</f>
        <v>5878</v>
      </c>
      <c r="H10" s="845">
        <f aca="true" t="shared" si="3" ref="H10:H17">SUM(I10:T10)</f>
        <v>5951</v>
      </c>
      <c r="I10" s="843">
        <f aca="true" t="shared" si="4" ref="I10:T10">I11+I12</f>
        <v>736</v>
      </c>
      <c r="J10" s="843">
        <f t="shared" si="4"/>
        <v>479</v>
      </c>
      <c r="K10" s="843">
        <f t="shared" si="4"/>
        <v>783</v>
      </c>
      <c r="L10" s="843">
        <f t="shared" si="4"/>
        <v>369</v>
      </c>
      <c r="M10" s="843">
        <f t="shared" si="4"/>
        <v>549</v>
      </c>
      <c r="N10" s="843">
        <f t="shared" si="4"/>
        <v>761</v>
      </c>
      <c r="O10" s="843">
        <f t="shared" si="4"/>
        <v>374</v>
      </c>
      <c r="P10" s="843">
        <f t="shared" si="4"/>
        <v>405</v>
      </c>
      <c r="Q10" s="843">
        <f t="shared" si="4"/>
        <v>275</v>
      </c>
      <c r="R10" s="843">
        <f t="shared" si="4"/>
        <v>496</v>
      </c>
      <c r="S10" s="843">
        <f t="shared" si="4"/>
        <v>483</v>
      </c>
      <c r="T10" s="843">
        <f t="shared" si="4"/>
        <v>241</v>
      </c>
      <c r="U10" s="853">
        <f>G10/D10*100</f>
        <v>100.08513536523071</v>
      </c>
      <c r="V10" s="854">
        <f aca="true" t="shared" si="5" ref="V10:V17">H10/G10%</f>
        <v>101.24191902007486</v>
      </c>
      <c r="X10" s="356"/>
      <c r="Y10" s="357"/>
      <c r="Z10" s="358"/>
      <c r="AA10" s="359"/>
      <c r="AB10" s="360"/>
      <c r="AC10" s="361"/>
      <c r="AD10" s="362"/>
      <c r="AE10" s="362"/>
      <c r="AF10" s="362"/>
      <c r="AG10" s="362"/>
      <c r="AH10" s="362"/>
      <c r="AI10" s="362"/>
      <c r="AJ10" s="362"/>
      <c r="AK10" s="362"/>
      <c r="AL10" s="362"/>
    </row>
    <row r="11" spans="1:38" s="372" customFormat="1" ht="16.5" customHeight="1">
      <c r="A11" s="855"/>
      <c r="B11" s="856" t="s">
        <v>62</v>
      </c>
      <c r="C11" s="855" t="s">
        <v>63</v>
      </c>
      <c r="D11" s="857">
        <v>1282</v>
      </c>
      <c r="E11" s="857">
        <v>1377</v>
      </c>
      <c r="F11" s="857"/>
      <c r="G11" s="857">
        <v>1377</v>
      </c>
      <c r="H11" s="857">
        <f t="shared" si="3"/>
        <v>1441</v>
      </c>
      <c r="I11" s="855">
        <f>104+91</f>
        <v>195</v>
      </c>
      <c r="J11" s="855">
        <v>93</v>
      </c>
      <c r="K11" s="855">
        <v>167</v>
      </c>
      <c r="L11" s="855">
        <v>115</v>
      </c>
      <c r="M11" s="855">
        <f>101+68</f>
        <v>169</v>
      </c>
      <c r="N11" s="855">
        <v>143</v>
      </c>
      <c r="O11" s="855">
        <v>120</v>
      </c>
      <c r="P11" s="855">
        <v>85</v>
      </c>
      <c r="Q11" s="855">
        <v>58</v>
      </c>
      <c r="R11" s="855">
        <v>118</v>
      </c>
      <c r="S11" s="855">
        <v>114</v>
      </c>
      <c r="T11" s="855">
        <v>64</v>
      </c>
      <c r="U11" s="858">
        <f aca="true" t="shared" si="6" ref="U11:U17">G11/D11*100</f>
        <v>107.41029641185646</v>
      </c>
      <c r="V11" s="859">
        <f t="shared" si="5"/>
        <v>104.64778503994191</v>
      </c>
      <c r="W11" s="363"/>
      <c r="X11" s="364"/>
      <c r="Y11" s="365" t="s">
        <v>62</v>
      </c>
      <c r="Z11" s="366" t="s">
        <v>63</v>
      </c>
      <c r="AA11" s="367">
        <v>2535</v>
      </c>
      <c r="AB11" s="368">
        <v>2951</v>
      </c>
      <c r="AC11" s="369">
        <f>SUM(AD11:AL11)</f>
        <v>3150</v>
      </c>
      <c r="AD11" s="370">
        <v>800</v>
      </c>
      <c r="AE11" s="370">
        <v>950</v>
      </c>
      <c r="AF11" s="371">
        <v>110</v>
      </c>
      <c r="AG11" s="371">
        <v>300</v>
      </c>
      <c r="AH11" s="370">
        <v>350</v>
      </c>
      <c r="AI11" s="364">
        <v>120</v>
      </c>
      <c r="AJ11" s="370">
        <v>160</v>
      </c>
      <c r="AK11" s="364">
        <v>200</v>
      </c>
      <c r="AL11" s="370">
        <v>160</v>
      </c>
    </row>
    <row r="12" spans="1:38" s="372" customFormat="1" ht="16.5" customHeight="1">
      <c r="A12" s="855"/>
      <c r="B12" s="856" t="s">
        <v>64</v>
      </c>
      <c r="C12" s="855" t="s">
        <v>509</v>
      </c>
      <c r="D12" s="857">
        <v>4591</v>
      </c>
      <c r="E12" s="857">
        <v>4501</v>
      </c>
      <c r="F12" s="857">
        <v>4879</v>
      </c>
      <c r="G12" s="857">
        <v>4501</v>
      </c>
      <c r="H12" s="857">
        <f t="shared" si="3"/>
        <v>4510</v>
      </c>
      <c r="I12" s="855">
        <f>285+256</f>
        <v>541</v>
      </c>
      <c r="J12" s="855">
        <v>386</v>
      </c>
      <c r="K12" s="855">
        <v>616</v>
      </c>
      <c r="L12" s="855">
        <v>254</v>
      </c>
      <c r="M12" s="855">
        <f>225+155</f>
        <v>380</v>
      </c>
      <c r="N12" s="855">
        <v>618</v>
      </c>
      <c r="O12" s="855">
        <v>254</v>
      </c>
      <c r="P12" s="855">
        <v>320</v>
      </c>
      <c r="Q12" s="855">
        <v>217</v>
      </c>
      <c r="R12" s="855">
        <v>378</v>
      </c>
      <c r="S12" s="855">
        <v>369</v>
      </c>
      <c r="T12" s="855">
        <v>177</v>
      </c>
      <c r="U12" s="858">
        <f t="shared" si="6"/>
        <v>98.0396427793509</v>
      </c>
      <c r="V12" s="860">
        <f t="shared" si="5"/>
        <v>100.1999555654299</v>
      </c>
      <c r="W12" s="373"/>
      <c r="X12" s="364"/>
      <c r="Y12" s="365" t="s">
        <v>64</v>
      </c>
      <c r="Z12" s="366" t="s">
        <v>60</v>
      </c>
      <c r="AA12" s="367">
        <v>27349</v>
      </c>
      <c r="AB12" s="368">
        <v>31720</v>
      </c>
      <c r="AC12" s="369">
        <f>SUM(AD12:AL12)</f>
        <v>31990</v>
      </c>
      <c r="AD12" s="370">
        <v>2880</v>
      </c>
      <c r="AE12" s="370">
        <v>6305</v>
      </c>
      <c r="AF12" s="371">
        <v>3950</v>
      </c>
      <c r="AG12" s="371">
        <v>570</v>
      </c>
      <c r="AH12" s="370">
        <v>4100</v>
      </c>
      <c r="AI12" s="364">
        <v>3635</v>
      </c>
      <c r="AJ12" s="370">
        <v>2900</v>
      </c>
      <c r="AK12" s="364">
        <v>4950</v>
      </c>
      <c r="AL12" s="370">
        <v>2700</v>
      </c>
    </row>
    <row r="13" spans="1:38" s="372" customFormat="1" ht="16.5" customHeight="1">
      <c r="A13" s="855"/>
      <c r="B13" s="856" t="s">
        <v>65</v>
      </c>
      <c r="C13" s="855" t="s">
        <v>509</v>
      </c>
      <c r="D13" s="857">
        <v>1622</v>
      </c>
      <c r="E13" s="857">
        <v>1616</v>
      </c>
      <c r="F13" s="857">
        <v>1632</v>
      </c>
      <c r="G13" s="857">
        <v>1616</v>
      </c>
      <c r="H13" s="857">
        <f t="shared" si="3"/>
        <v>1480</v>
      </c>
      <c r="I13" s="855">
        <f>108+99</f>
        <v>207</v>
      </c>
      <c r="J13" s="855">
        <v>128</v>
      </c>
      <c r="K13" s="855">
        <v>195</v>
      </c>
      <c r="L13" s="855">
        <v>84</v>
      </c>
      <c r="M13" s="855">
        <f>75+52</f>
        <v>127</v>
      </c>
      <c r="N13" s="855">
        <v>183</v>
      </c>
      <c r="O13" s="855">
        <v>87</v>
      </c>
      <c r="P13" s="855">
        <v>94</v>
      </c>
      <c r="Q13" s="855">
        <v>70</v>
      </c>
      <c r="R13" s="855">
        <v>127</v>
      </c>
      <c r="S13" s="855">
        <v>112</v>
      </c>
      <c r="T13" s="855">
        <v>66</v>
      </c>
      <c r="U13" s="858">
        <f t="shared" si="6"/>
        <v>99.63008631319359</v>
      </c>
      <c r="V13" s="859">
        <f t="shared" si="5"/>
        <v>91.58415841584159</v>
      </c>
      <c r="X13" s="364"/>
      <c r="Y13" s="365" t="s">
        <v>65</v>
      </c>
      <c r="Z13" s="366" t="s">
        <v>66</v>
      </c>
      <c r="AA13" s="367">
        <v>11329</v>
      </c>
      <c r="AB13" s="368">
        <f>AA13+180</f>
        <v>11509</v>
      </c>
      <c r="AC13" s="369">
        <f>SUM(AD13:AL13)</f>
        <v>11842</v>
      </c>
      <c r="AD13" s="370">
        <v>890</v>
      </c>
      <c r="AE13" s="370">
        <v>2020</v>
      </c>
      <c r="AF13" s="371">
        <v>1625</v>
      </c>
      <c r="AG13" s="371">
        <v>179</v>
      </c>
      <c r="AH13" s="370">
        <v>1435</v>
      </c>
      <c r="AI13" s="364">
        <v>1850</v>
      </c>
      <c r="AJ13" s="370">
        <v>943</v>
      </c>
      <c r="AK13" s="364">
        <v>1650</v>
      </c>
      <c r="AL13" s="370">
        <v>1250</v>
      </c>
    </row>
    <row r="14" spans="1:38" s="355" customFormat="1" ht="16.5" customHeight="1">
      <c r="A14" s="843">
        <v>2</v>
      </c>
      <c r="B14" s="844" t="s">
        <v>265</v>
      </c>
      <c r="C14" s="843"/>
      <c r="D14" s="843">
        <f>D15+D16</f>
        <v>239</v>
      </c>
      <c r="E14" s="843">
        <f>E15+E16</f>
        <v>254</v>
      </c>
      <c r="F14" s="843">
        <f>F15+F16</f>
        <v>205</v>
      </c>
      <c r="G14" s="843">
        <f>G15+G16</f>
        <v>254</v>
      </c>
      <c r="H14" s="843">
        <f t="shared" si="3"/>
        <v>256</v>
      </c>
      <c r="I14" s="843">
        <f aca="true" t="shared" si="7" ref="I14:T14">I15+I16</f>
        <v>30</v>
      </c>
      <c r="J14" s="843">
        <f t="shared" si="7"/>
        <v>21</v>
      </c>
      <c r="K14" s="843">
        <f t="shared" si="7"/>
        <v>34</v>
      </c>
      <c r="L14" s="843">
        <f t="shared" si="7"/>
        <v>17</v>
      </c>
      <c r="M14" s="843">
        <f t="shared" si="7"/>
        <v>26</v>
      </c>
      <c r="N14" s="843">
        <f t="shared" si="7"/>
        <v>29</v>
      </c>
      <c r="O14" s="843">
        <f t="shared" si="7"/>
        <v>17</v>
      </c>
      <c r="P14" s="843">
        <f t="shared" si="7"/>
        <v>15</v>
      </c>
      <c r="Q14" s="843">
        <f t="shared" si="7"/>
        <v>13</v>
      </c>
      <c r="R14" s="843">
        <f t="shared" si="7"/>
        <v>20</v>
      </c>
      <c r="S14" s="843">
        <f t="shared" si="7"/>
        <v>22</v>
      </c>
      <c r="T14" s="843">
        <f t="shared" si="7"/>
        <v>12</v>
      </c>
      <c r="U14" s="853">
        <f t="shared" si="6"/>
        <v>106.27615062761507</v>
      </c>
      <c r="V14" s="861">
        <f t="shared" si="5"/>
        <v>100.78740157480314</v>
      </c>
      <c r="X14" s="356"/>
      <c r="Y14" s="357"/>
      <c r="Z14" s="358"/>
      <c r="AA14" s="359"/>
      <c r="AB14" s="360"/>
      <c r="AC14" s="361"/>
      <c r="AD14" s="374"/>
      <c r="AE14" s="374"/>
      <c r="AF14" s="354"/>
      <c r="AG14" s="354"/>
      <c r="AH14" s="374"/>
      <c r="AI14" s="356"/>
      <c r="AJ14" s="374"/>
      <c r="AK14" s="356"/>
      <c r="AL14" s="374"/>
    </row>
    <row r="15" spans="1:38" s="372" customFormat="1" ht="16.5" customHeight="1">
      <c r="A15" s="855"/>
      <c r="B15" s="856" t="s">
        <v>266</v>
      </c>
      <c r="C15" s="855" t="s">
        <v>269</v>
      </c>
      <c r="D15" s="855">
        <v>53</v>
      </c>
      <c r="E15" s="855">
        <v>64</v>
      </c>
      <c r="F15" s="855">
        <v>21</v>
      </c>
      <c r="G15" s="855">
        <v>64</v>
      </c>
      <c r="H15" s="855">
        <f t="shared" si="3"/>
        <v>65</v>
      </c>
      <c r="I15" s="855">
        <v>10</v>
      </c>
      <c r="J15" s="855">
        <v>4</v>
      </c>
      <c r="K15" s="855">
        <v>8</v>
      </c>
      <c r="L15" s="855">
        <v>5</v>
      </c>
      <c r="M15" s="855">
        <v>8</v>
      </c>
      <c r="N15" s="855">
        <v>6</v>
      </c>
      <c r="O15" s="855">
        <v>5</v>
      </c>
      <c r="P15" s="855">
        <v>3</v>
      </c>
      <c r="Q15" s="855">
        <v>3</v>
      </c>
      <c r="R15" s="855">
        <v>5</v>
      </c>
      <c r="S15" s="855">
        <v>5</v>
      </c>
      <c r="T15" s="855">
        <v>3</v>
      </c>
      <c r="U15" s="858">
        <f t="shared" si="6"/>
        <v>120.75471698113208</v>
      </c>
      <c r="V15" s="858">
        <f t="shared" si="5"/>
        <v>101.5625</v>
      </c>
      <c r="X15" s="364"/>
      <c r="Y15" s="365"/>
      <c r="Z15" s="366"/>
      <c r="AA15" s="367"/>
      <c r="AB15" s="368"/>
      <c r="AC15" s="369"/>
      <c r="AD15" s="370"/>
      <c r="AE15" s="370"/>
      <c r="AF15" s="371"/>
      <c r="AG15" s="371"/>
      <c r="AH15" s="370"/>
      <c r="AI15" s="364"/>
      <c r="AJ15" s="370"/>
      <c r="AK15" s="364"/>
      <c r="AL15" s="370"/>
    </row>
    <row r="16" spans="1:38" s="372" customFormat="1" ht="16.5" customHeight="1">
      <c r="A16" s="855"/>
      <c r="B16" s="856" t="s">
        <v>267</v>
      </c>
      <c r="C16" s="855" t="s">
        <v>237</v>
      </c>
      <c r="D16" s="855">
        <v>186</v>
      </c>
      <c r="E16" s="855">
        <v>190</v>
      </c>
      <c r="F16" s="855">
        <v>184</v>
      </c>
      <c r="G16" s="855">
        <v>190</v>
      </c>
      <c r="H16" s="855">
        <f t="shared" si="3"/>
        <v>191</v>
      </c>
      <c r="I16" s="855">
        <v>20</v>
      </c>
      <c r="J16" s="855">
        <v>17</v>
      </c>
      <c r="K16" s="855">
        <v>26</v>
      </c>
      <c r="L16" s="855">
        <v>12</v>
      </c>
      <c r="M16" s="855">
        <v>18</v>
      </c>
      <c r="N16" s="855">
        <v>23</v>
      </c>
      <c r="O16" s="855">
        <v>12</v>
      </c>
      <c r="P16" s="855">
        <v>12</v>
      </c>
      <c r="Q16" s="855">
        <v>10</v>
      </c>
      <c r="R16" s="855">
        <v>15</v>
      </c>
      <c r="S16" s="855">
        <v>17</v>
      </c>
      <c r="T16" s="855">
        <v>9</v>
      </c>
      <c r="U16" s="858">
        <f t="shared" si="6"/>
        <v>102.15053763440861</v>
      </c>
      <c r="V16" s="862">
        <f t="shared" si="5"/>
        <v>100.52631578947368</v>
      </c>
      <c r="X16" s="364"/>
      <c r="Y16" s="365"/>
      <c r="Z16" s="366"/>
      <c r="AA16" s="367"/>
      <c r="AB16" s="368"/>
      <c r="AC16" s="369"/>
      <c r="AD16" s="370"/>
      <c r="AE16" s="370"/>
      <c r="AF16" s="371"/>
      <c r="AG16" s="371"/>
      <c r="AH16" s="370"/>
      <c r="AI16" s="364"/>
      <c r="AJ16" s="370"/>
      <c r="AK16" s="364"/>
      <c r="AL16" s="370"/>
    </row>
    <row r="17" spans="1:38" s="372" customFormat="1" ht="16.5" customHeight="1">
      <c r="A17" s="855"/>
      <c r="B17" s="856" t="s">
        <v>268</v>
      </c>
      <c r="C17" s="855" t="s">
        <v>237</v>
      </c>
      <c r="D17" s="855">
        <v>107</v>
      </c>
      <c r="E17" s="855">
        <v>106</v>
      </c>
      <c r="F17" s="855">
        <v>107</v>
      </c>
      <c r="G17" s="855">
        <v>106</v>
      </c>
      <c r="H17" s="855">
        <f t="shared" si="3"/>
        <v>108</v>
      </c>
      <c r="I17" s="855">
        <v>8</v>
      </c>
      <c r="J17" s="855">
        <v>11</v>
      </c>
      <c r="K17" s="855">
        <v>9</v>
      </c>
      <c r="L17" s="855">
        <v>6</v>
      </c>
      <c r="M17" s="855">
        <v>10</v>
      </c>
      <c r="N17" s="855">
        <v>10</v>
      </c>
      <c r="O17" s="855">
        <v>9</v>
      </c>
      <c r="P17" s="855">
        <v>8</v>
      </c>
      <c r="Q17" s="855">
        <v>6</v>
      </c>
      <c r="R17" s="855">
        <v>9</v>
      </c>
      <c r="S17" s="855">
        <v>15</v>
      </c>
      <c r="T17" s="855">
        <v>7</v>
      </c>
      <c r="U17" s="858">
        <f t="shared" si="6"/>
        <v>99.06542056074767</v>
      </c>
      <c r="V17" s="852">
        <f t="shared" si="5"/>
        <v>101.88679245283018</v>
      </c>
      <c r="X17" s="364"/>
      <c r="Y17" s="365"/>
      <c r="Z17" s="366"/>
      <c r="AA17" s="367"/>
      <c r="AB17" s="368"/>
      <c r="AC17" s="369"/>
      <c r="AD17" s="370"/>
      <c r="AE17" s="370"/>
      <c r="AF17" s="371"/>
      <c r="AG17" s="371"/>
      <c r="AH17" s="370"/>
      <c r="AI17" s="364"/>
      <c r="AJ17" s="370"/>
      <c r="AK17" s="364"/>
      <c r="AL17" s="370"/>
    </row>
    <row r="18" spans="1:38" s="355" customFormat="1" ht="21" customHeight="1">
      <c r="A18" s="843">
        <v>3</v>
      </c>
      <c r="B18" s="844" t="s">
        <v>270</v>
      </c>
      <c r="C18" s="843"/>
      <c r="D18" s="848"/>
      <c r="E18" s="848"/>
      <c r="F18" s="848"/>
      <c r="G18" s="848"/>
      <c r="H18" s="849"/>
      <c r="I18" s="849"/>
      <c r="J18" s="849"/>
      <c r="K18" s="850"/>
      <c r="L18" s="849"/>
      <c r="M18" s="849"/>
      <c r="N18" s="849"/>
      <c r="O18" s="849"/>
      <c r="P18" s="849"/>
      <c r="Q18" s="849"/>
      <c r="R18" s="849"/>
      <c r="S18" s="849"/>
      <c r="T18" s="849"/>
      <c r="U18" s="851"/>
      <c r="V18" s="852"/>
      <c r="X18" s="356"/>
      <c r="Y18" s="357"/>
      <c r="Z18" s="358"/>
      <c r="AA18" s="359"/>
      <c r="AB18" s="360"/>
      <c r="AC18" s="361"/>
      <c r="AD18" s="374"/>
      <c r="AE18" s="374"/>
      <c r="AF18" s="354"/>
      <c r="AG18" s="354"/>
      <c r="AH18" s="374"/>
      <c r="AI18" s="356"/>
      <c r="AJ18" s="374"/>
      <c r="AK18" s="356"/>
      <c r="AL18" s="374"/>
    </row>
    <row r="19" spans="1:38" s="372" customFormat="1" ht="18.75" customHeight="1">
      <c r="A19" s="855"/>
      <c r="B19" s="856" t="s">
        <v>67</v>
      </c>
      <c r="C19" s="855" t="s">
        <v>13</v>
      </c>
      <c r="D19" s="863">
        <v>65.5</v>
      </c>
      <c r="E19" s="863">
        <v>63.6</v>
      </c>
      <c r="F19" s="863">
        <v>61.9</v>
      </c>
      <c r="G19" s="490">
        <v>63.6</v>
      </c>
      <c r="H19" s="491">
        <f>5951/8680%</f>
        <v>68.55990783410138</v>
      </c>
      <c r="I19" s="491">
        <f>(389+347)/(542+361)%</f>
        <v>81.5060908084164</v>
      </c>
      <c r="J19" s="491">
        <f>479/852%</f>
        <v>56.22065727699531</v>
      </c>
      <c r="K19" s="491">
        <f>783/1190%</f>
        <v>65.7983193277311</v>
      </c>
      <c r="L19" s="492">
        <f>369/501%</f>
        <v>73.65269461077844</v>
      </c>
      <c r="M19" s="491">
        <f>(326+223)/(429+295)%</f>
        <v>75.82872928176795</v>
      </c>
      <c r="N19" s="491">
        <f>761/1160%</f>
        <v>65.60344827586206</v>
      </c>
      <c r="O19" s="491">
        <f>374/538%</f>
        <v>69.51672862453532</v>
      </c>
      <c r="P19" s="491">
        <f>405/589%</f>
        <v>68.76061120543294</v>
      </c>
      <c r="Q19" s="491">
        <f>275/445%</f>
        <v>61.79775280898876</v>
      </c>
      <c r="R19" s="491">
        <f>496/694%</f>
        <v>71.46974063400576</v>
      </c>
      <c r="S19" s="491">
        <f>483/703%</f>
        <v>68.70554765291607</v>
      </c>
      <c r="T19" s="491">
        <f>275/445%</f>
        <v>61.79775280898876</v>
      </c>
      <c r="U19" s="864">
        <f aca="true" t="shared" si="8" ref="U19:U24">G19-D19</f>
        <v>-1.8999999999999986</v>
      </c>
      <c r="V19" s="865">
        <f aca="true" t="shared" si="9" ref="V19:V24">H19-G19</f>
        <v>4.959907834101379</v>
      </c>
      <c r="X19" s="364"/>
      <c r="Y19" s="365" t="s">
        <v>67</v>
      </c>
      <c r="Z19" s="366" t="s">
        <v>13</v>
      </c>
      <c r="AA19" s="375">
        <v>43.1</v>
      </c>
      <c r="AB19" s="375">
        <v>44.97</v>
      </c>
      <c r="AC19" s="376">
        <f>AC9/78244*100</f>
        <v>44.910791881805636</v>
      </c>
      <c r="AD19" s="377">
        <v>72.4694761717211</v>
      </c>
      <c r="AE19" s="377">
        <v>55.474843248203086</v>
      </c>
      <c r="AF19" s="377">
        <v>38.200978547233724</v>
      </c>
      <c r="AG19" s="377">
        <v>66.92307692307692</v>
      </c>
      <c r="AH19" s="377">
        <v>44.38460003989627</v>
      </c>
      <c r="AI19" s="377">
        <v>30.963964706852476</v>
      </c>
      <c r="AJ19" s="377">
        <v>49.14083828488839</v>
      </c>
      <c r="AK19" s="377">
        <v>46.13455164382334</v>
      </c>
      <c r="AL19" s="377">
        <v>33.19020540791458</v>
      </c>
    </row>
    <row r="20" spans="1:38" s="372" customFormat="1" ht="16.5" customHeight="1">
      <c r="A20" s="855"/>
      <c r="B20" s="856" t="s">
        <v>68</v>
      </c>
      <c r="C20" s="855" t="s">
        <v>13</v>
      </c>
      <c r="D20" s="493">
        <v>47.4</v>
      </c>
      <c r="E20" s="493">
        <v>46.1</v>
      </c>
      <c r="F20" s="493">
        <v>48.1</v>
      </c>
      <c r="G20" s="493">
        <v>46.1</v>
      </c>
      <c r="H20" s="866">
        <f>2937/H10%</f>
        <v>49.35304990757856</v>
      </c>
      <c r="I20" s="494">
        <f>(185+165)/I10%</f>
        <v>47.55434782608695</v>
      </c>
      <c r="J20" s="494">
        <f>213/J10%</f>
        <v>44.46764091858037</v>
      </c>
      <c r="K20" s="494">
        <f>378/K10%</f>
        <v>48.275862068965516</v>
      </c>
      <c r="L20" s="494">
        <f>157/L10%</f>
        <v>42.547425474254744</v>
      </c>
      <c r="M20" s="494">
        <f>(159+104)/M10%</f>
        <v>47.905282331511835</v>
      </c>
      <c r="N20" s="494">
        <f>373/N10%</f>
        <v>49.01445466491458</v>
      </c>
      <c r="O20" s="494">
        <f>168/O10%</f>
        <v>44.91978609625668</v>
      </c>
      <c r="P20" s="494">
        <f>176/P10%</f>
        <v>43.45679012345679</v>
      </c>
      <c r="Q20" s="494">
        <f>132/Q10%</f>
        <v>48</v>
      </c>
      <c r="R20" s="494">
        <f>250/R10%</f>
        <v>50.403225806451616</v>
      </c>
      <c r="S20" s="494">
        <f>260/S10%</f>
        <v>53.83022774327122</v>
      </c>
      <c r="T20" s="494">
        <f>117/T10%</f>
        <v>48.54771784232365</v>
      </c>
      <c r="U20" s="864">
        <f t="shared" si="8"/>
        <v>-1.2999999999999972</v>
      </c>
      <c r="V20" s="865">
        <f t="shared" si="9"/>
        <v>3.253049907578557</v>
      </c>
      <c r="X20" s="364"/>
      <c r="Y20" s="365" t="s">
        <v>68</v>
      </c>
      <c r="Z20" s="366" t="s">
        <v>13</v>
      </c>
      <c r="AA20" s="375">
        <v>48.3</v>
      </c>
      <c r="AB20" s="375">
        <v>48.7</v>
      </c>
      <c r="AC20" s="376">
        <v>48.9</v>
      </c>
      <c r="AD20" s="377">
        <v>46.6</v>
      </c>
      <c r="AE20" s="377">
        <v>50.2</v>
      </c>
      <c r="AF20" s="377">
        <v>49.4</v>
      </c>
      <c r="AG20" s="377">
        <v>50.2</v>
      </c>
      <c r="AH20" s="377">
        <v>47.9</v>
      </c>
      <c r="AI20" s="377">
        <v>49.9</v>
      </c>
      <c r="AJ20" s="377">
        <v>47.4</v>
      </c>
      <c r="AK20" s="377">
        <v>48.7</v>
      </c>
      <c r="AL20" s="377">
        <v>49.8</v>
      </c>
    </row>
    <row r="21" spans="1:38" s="372" customFormat="1" ht="16.5" customHeight="1">
      <c r="A21" s="855"/>
      <c r="B21" s="856" t="s">
        <v>69</v>
      </c>
      <c r="C21" s="855" t="s">
        <v>13</v>
      </c>
      <c r="D21" s="867">
        <v>5</v>
      </c>
      <c r="E21" s="497">
        <v>4.9</v>
      </c>
      <c r="F21" s="497">
        <v>5.2</v>
      </c>
      <c r="G21" s="495">
        <v>4.9</v>
      </c>
      <c r="H21" s="496">
        <f>294/H10*100</f>
        <v>4.940346160309192</v>
      </c>
      <c r="I21" s="496">
        <f>(34/I10)*100</f>
        <v>4.619565217391304</v>
      </c>
      <c r="J21" s="496">
        <f>(23/J10)*100</f>
        <v>4.801670146137787</v>
      </c>
      <c r="K21" s="711">
        <f>(39/K10)*100</f>
        <v>4.980842911877394</v>
      </c>
      <c r="L21" s="496">
        <f>(18/L10)*100</f>
        <v>4.878048780487805</v>
      </c>
      <c r="M21" s="496">
        <f>(28/M10)*100</f>
        <v>5.100182149362477</v>
      </c>
      <c r="N21" s="496">
        <f>(39/N10)*100</f>
        <v>5.124835742444152</v>
      </c>
      <c r="O21" s="496">
        <f>(17/O10)*100</f>
        <v>4.545454545454546</v>
      </c>
      <c r="P21" s="496">
        <f>(20/P10)*100</f>
        <v>4.938271604938271</v>
      </c>
      <c r="Q21" s="496">
        <f>(14/Q10)*100</f>
        <v>5.090909090909091</v>
      </c>
      <c r="R21" s="496">
        <f>(25/R10)*100</f>
        <v>5.040322580645161</v>
      </c>
      <c r="S21" s="496">
        <f>(25/S10)*100</f>
        <v>5.175983436853002</v>
      </c>
      <c r="T21" s="711">
        <f>(12/T10)*100</f>
        <v>4.979253112033195</v>
      </c>
      <c r="U21" s="864">
        <f t="shared" si="8"/>
        <v>-0.09999999999999964</v>
      </c>
      <c r="V21" s="865">
        <f t="shared" si="9"/>
        <v>0.04034616030919125</v>
      </c>
      <c r="X21" s="364"/>
      <c r="Y21" s="365" t="s">
        <v>69</v>
      </c>
      <c r="Z21" s="366" t="s">
        <v>13</v>
      </c>
      <c r="AA21" s="375">
        <v>5.8</v>
      </c>
      <c r="AB21" s="375">
        <v>5.5</v>
      </c>
      <c r="AC21" s="376">
        <v>5.2</v>
      </c>
      <c r="AD21" s="379">
        <v>4.1</v>
      </c>
      <c r="AE21" s="377">
        <v>5.1</v>
      </c>
      <c r="AF21" s="380">
        <v>6.1</v>
      </c>
      <c r="AG21" s="380">
        <v>4.1</v>
      </c>
      <c r="AH21" s="377">
        <v>5.7</v>
      </c>
      <c r="AI21" s="364">
        <v>6.4</v>
      </c>
      <c r="AJ21" s="377">
        <v>5.3</v>
      </c>
      <c r="AK21" s="364">
        <v>5.4</v>
      </c>
      <c r="AL21" s="377">
        <v>6.2</v>
      </c>
    </row>
    <row r="22" spans="1:38" s="372" customFormat="1" ht="16.5" customHeight="1">
      <c r="A22" s="855"/>
      <c r="B22" s="868" t="s">
        <v>70</v>
      </c>
      <c r="C22" s="855" t="s">
        <v>13</v>
      </c>
      <c r="D22" s="497">
        <v>5.4</v>
      </c>
      <c r="E22" s="497">
        <v>5.6</v>
      </c>
      <c r="F22" s="867">
        <v>6.5</v>
      </c>
      <c r="G22" s="495">
        <v>5.6</v>
      </c>
      <c r="H22" s="496">
        <f>325/H10*100</f>
        <v>5.461267013947236</v>
      </c>
      <c r="I22" s="496">
        <f>(37/I10)*100</f>
        <v>5.0271739130434785</v>
      </c>
      <c r="J22" s="496">
        <f>(26/J10)*100</f>
        <v>5.427974947807933</v>
      </c>
      <c r="K22" s="496">
        <f>(43/K10)*100</f>
        <v>5.491698595146871</v>
      </c>
      <c r="L22" s="496">
        <f>(21/L10)*100</f>
        <v>5.691056910569105</v>
      </c>
      <c r="M22" s="496">
        <f>(30/M10)*100</f>
        <v>5.46448087431694</v>
      </c>
      <c r="N22" s="496">
        <f>(41/N10)*100</f>
        <v>5.387647831800263</v>
      </c>
      <c r="O22" s="496">
        <f>(20/O10)*100</f>
        <v>5.347593582887701</v>
      </c>
      <c r="P22" s="496">
        <f>(23/P10)*100</f>
        <v>5.679012345679013</v>
      </c>
      <c r="Q22" s="496">
        <f>(15/Q10)*100</f>
        <v>5.454545454545454</v>
      </c>
      <c r="R22" s="496">
        <f>(28/R10)*100</f>
        <v>5.64516129032258</v>
      </c>
      <c r="S22" s="496">
        <f>(27/S10)*100</f>
        <v>5.590062111801243</v>
      </c>
      <c r="T22" s="496">
        <f>(14/T10)*100</f>
        <v>5.809128630705394</v>
      </c>
      <c r="U22" s="864">
        <f t="shared" si="8"/>
        <v>0.1999999999999993</v>
      </c>
      <c r="V22" s="865">
        <f t="shared" si="9"/>
        <v>-0.13873298605276396</v>
      </c>
      <c r="X22" s="364"/>
      <c r="Y22" s="365" t="s">
        <v>70</v>
      </c>
      <c r="Z22" s="366" t="s">
        <v>13</v>
      </c>
      <c r="AA22" s="375">
        <v>6.2</v>
      </c>
      <c r="AB22" s="375">
        <v>6</v>
      </c>
      <c r="AC22" s="376">
        <v>5.8</v>
      </c>
      <c r="AD22" s="379">
        <v>4.5</v>
      </c>
      <c r="AE22" s="377">
        <v>5.5</v>
      </c>
      <c r="AF22" s="380">
        <v>6.5</v>
      </c>
      <c r="AG22" s="380">
        <v>4.4</v>
      </c>
      <c r="AH22" s="377">
        <v>6.4</v>
      </c>
      <c r="AI22" s="364">
        <v>6.9</v>
      </c>
      <c r="AJ22" s="377">
        <v>5.8</v>
      </c>
      <c r="AK22" s="364">
        <v>6.1</v>
      </c>
      <c r="AL22" s="377">
        <v>6.8</v>
      </c>
    </row>
    <row r="23" spans="1:38" s="372" customFormat="1" ht="24.75" customHeight="1">
      <c r="A23" s="855"/>
      <c r="B23" s="856" t="s">
        <v>563</v>
      </c>
      <c r="C23" s="855" t="s">
        <v>13</v>
      </c>
      <c r="D23" s="497">
        <v>22.3</v>
      </c>
      <c r="E23" s="497">
        <v>30.7</v>
      </c>
      <c r="F23" s="497">
        <v>11.7</v>
      </c>
      <c r="G23" s="497">
        <v>30.7</v>
      </c>
      <c r="H23" s="498">
        <f>1430/4182%</f>
        <v>34.194165471066476</v>
      </c>
      <c r="I23" s="498">
        <f>(101+91)/(253+173)%</f>
        <v>45.07042253521127</v>
      </c>
      <c r="J23" s="498">
        <v>22.2</v>
      </c>
      <c r="K23" s="498">
        <v>29.1</v>
      </c>
      <c r="L23" s="499">
        <v>46.6</v>
      </c>
      <c r="M23" s="498">
        <f>(95+61)/(203+143)%</f>
        <v>45.08670520231214</v>
      </c>
      <c r="N23" s="498">
        <v>27.4</v>
      </c>
      <c r="O23" s="498">
        <v>42.6</v>
      </c>
      <c r="P23" s="498">
        <v>32.2</v>
      </c>
      <c r="Q23" s="498">
        <v>25.4</v>
      </c>
      <c r="R23" s="498">
        <v>36.1</v>
      </c>
      <c r="S23" s="498">
        <v>34.7</v>
      </c>
      <c r="T23" s="498">
        <v>32.5</v>
      </c>
      <c r="U23" s="864">
        <f t="shared" si="8"/>
        <v>8.399999999999999</v>
      </c>
      <c r="V23" s="865">
        <f t="shared" si="9"/>
        <v>3.494165471066477</v>
      </c>
      <c r="X23" s="364"/>
      <c r="Y23" s="365" t="s">
        <v>71</v>
      </c>
      <c r="Z23" s="366" t="s">
        <v>13</v>
      </c>
      <c r="AA23" s="375">
        <v>8.5</v>
      </c>
      <c r="AB23" s="375">
        <v>8.6</v>
      </c>
      <c r="AC23" s="376">
        <v>9.1</v>
      </c>
      <c r="AD23" s="377">
        <v>30.450506065023603</v>
      </c>
      <c r="AE23" s="377">
        <v>14.176611347974358</v>
      </c>
      <c r="AF23" s="377">
        <v>1.9830812941514846</v>
      </c>
      <c r="AG23" s="377">
        <v>43.48915360882359</v>
      </c>
      <c r="AH23" s="377">
        <v>6.647784465758712</v>
      </c>
      <c r="AI23" s="377">
        <v>1.969772023720938</v>
      </c>
      <c r="AJ23" s="377">
        <v>4.951912277673531</v>
      </c>
      <c r="AK23" s="377">
        <v>3.499127301859369</v>
      </c>
      <c r="AL23" s="377">
        <v>3.63722441367727</v>
      </c>
    </row>
    <row r="24" spans="1:38" s="372" customFormat="1" ht="18" customHeight="1">
      <c r="A24" s="855"/>
      <c r="B24" s="869" t="s">
        <v>627</v>
      </c>
      <c r="C24" s="855" t="s">
        <v>13</v>
      </c>
      <c r="D24" s="500">
        <v>99.9</v>
      </c>
      <c r="E24" s="500">
        <v>99.8</v>
      </c>
      <c r="F24" s="500">
        <v>98.5</v>
      </c>
      <c r="G24" s="500">
        <v>99.8</v>
      </c>
      <c r="H24" s="501">
        <v>100</v>
      </c>
      <c r="I24" s="501">
        <v>100</v>
      </c>
      <c r="J24" s="501">
        <v>100</v>
      </c>
      <c r="K24" s="501">
        <v>100</v>
      </c>
      <c r="L24" s="501">
        <v>100</v>
      </c>
      <c r="M24" s="501">
        <v>100</v>
      </c>
      <c r="N24" s="501">
        <v>100</v>
      </c>
      <c r="O24" s="501">
        <v>100</v>
      </c>
      <c r="P24" s="501">
        <v>100</v>
      </c>
      <c r="Q24" s="501">
        <v>100</v>
      </c>
      <c r="R24" s="501">
        <v>100</v>
      </c>
      <c r="S24" s="501">
        <v>100</v>
      </c>
      <c r="T24" s="501">
        <v>100</v>
      </c>
      <c r="U24" s="864">
        <f t="shared" si="8"/>
        <v>-0.10000000000000853</v>
      </c>
      <c r="V24" s="864">
        <f t="shared" si="9"/>
        <v>0.20000000000000284</v>
      </c>
      <c r="W24" s="381"/>
      <c r="X24" s="364"/>
      <c r="Y24" s="382" t="s">
        <v>72</v>
      </c>
      <c r="Z24" s="366" t="s">
        <v>13</v>
      </c>
      <c r="AA24" s="375">
        <v>82.2</v>
      </c>
      <c r="AB24" s="375">
        <v>80.8</v>
      </c>
      <c r="AC24" s="376">
        <v>84.5</v>
      </c>
      <c r="AD24" s="377">
        <v>99.1</v>
      </c>
      <c r="AE24" s="377">
        <v>98.86734433962977</v>
      </c>
      <c r="AF24" s="377">
        <v>77.73375912570897</v>
      </c>
      <c r="AG24" s="377">
        <v>93.5802751148903</v>
      </c>
      <c r="AH24" s="377">
        <v>86.10380053272002</v>
      </c>
      <c r="AI24" s="377">
        <v>60.22735352683257</v>
      </c>
      <c r="AJ24" s="377">
        <v>96.78796701231303</v>
      </c>
      <c r="AK24" s="377">
        <v>90.87023493668164</v>
      </c>
      <c r="AL24" s="377">
        <v>64.00168182690193</v>
      </c>
    </row>
    <row r="25" spans="1:38" s="372" customFormat="1" ht="23.25" customHeight="1">
      <c r="A25" s="855"/>
      <c r="B25" s="869" t="s">
        <v>628</v>
      </c>
      <c r="C25" s="855" t="s">
        <v>13</v>
      </c>
      <c r="D25" s="502">
        <v>100</v>
      </c>
      <c r="E25" s="502">
        <v>100</v>
      </c>
      <c r="F25" s="500">
        <v>99.8</v>
      </c>
      <c r="G25" s="502">
        <v>100</v>
      </c>
      <c r="H25" s="501">
        <v>100</v>
      </c>
      <c r="I25" s="501">
        <v>100</v>
      </c>
      <c r="J25" s="501">
        <v>100</v>
      </c>
      <c r="K25" s="501">
        <v>100</v>
      </c>
      <c r="L25" s="501">
        <v>100</v>
      </c>
      <c r="M25" s="501">
        <v>100</v>
      </c>
      <c r="N25" s="501">
        <v>100</v>
      </c>
      <c r="O25" s="501">
        <v>100</v>
      </c>
      <c r="P25" s="501">
        <v>100</v>
      </c>
      <c r="Q25" s="501">
        <v>100</v>
      </c>
      <c r="R25" s="501">
        <v>100</v>
      </c>
      <c r="S25" s="501">
        <v>100</v>
      </c>
      <c r="T25" s="501">
        <v>100</v>
      </c>
      <c r="U25" s="864"/>
      <c r="V25" s="865"/>
      <c r="W25" s="373"/>
      <c r="X25" s="364"/>
      <c r="Y25" s="382" t="s">
        <v>73</v>
      </c>
      <c r="Z25" s="366" t="s">
        <v>13</v>
      </c>
      <c r="AA25" s="375">
        <v>95</v>
      </c>
      <c r="AB25" s="375">
        <v>95.8</v>
      </c>
      <c r="AC25" s="376">
        <v>96.8</v>
      </c>
      <c r="AD25" s="377">
        <v>100</v>
      </c>
      <c r="AE25" s="377">
        <v>99.01960784313727</v>
      </c>
      <c r="AF25" s="377">
        <v>98.78419452887537</v>
      </c>
      <c r="AG25" s="377">
        <v>99.44444444444444</v>
      </c>
      <c r="AH25" s="377">
        <v>92.05057949352052</v>
      </c>
      <c r="AI25" s="377">
        <v>89.30389117412443</v>
      </c>
      <c r="AJ25" s="377">
        <v>99.7883597883598</v>
      </c>
      <c r="AK25" s="377">
        <v>98.36702931895786</v>
      </c>
      <c r="AL25" s="377">
        <v>92.93278473176775</v>
      </c>
    </row>
    <row r="26" spans="1:38" s="385" customFormat="1" ht="18.75" customHeight="1">
      <c r="A26" s="843" t="s">
        <v>172</v>
      </c>
      <c r="B26" s="847" t="s">
        <v>585</v>
      </c>
      <c r="C26" s="843"/>
      <c r="D26" s="848"/>
      <c r="E26" s="848"/>
      <c r="F26" s="848"/>
      <c r="G26" s="848"/>
      <c r="H26" s="849"/>
      <c r="I26" s="849"/>
      <c r="J26" s="849"/>
      <c r="K26" s="850"/>
      <c r="L26" s="849"/>
      <c r="M26" s="849"/>
      <c r="N26" s="849"/>
      <c r="O26" s="849"/>
      <c r="P26" s="849"/>
      <c r="Q26" s="849"/>
      <c r="R26" s="849"/>
      <c r="S26" s="849"/>
      <c r="T26" s="849"/>
      <c r="U26" s="864"/>
      <c r="V26" s="865"/>
      <c r="W26" s="384"/>
      <c r="X26" s="358">
        <v>2</v>
      </c>
      <c r="Y26" s="357" t="s">
        <v>74</v>
      </c>
      <c r="Z26" s="358" t="s">
        <v>60</v>
      </c>
      <c r="AA26" s="374" t="e">
        <f>#REF!+#REF!+#REF!</f>
        <v>#REF!</v>
      </c>
      <c r="AB26" s="374" t="e">
        <f>#REF!+#REF!+#REF!</f>
        <v>#REF!</v>
      </c>
      <c r="AC26" s="361" t="e">
        <f>SUM(AD26:AL26)</f>
        <v>#REF!</v>
      </c>
      <c r="AD26" s="374" t="e">
        <f>#REF!+#REF!+#REF!</f>
        <v>#REF!</v>
      </c>
      <c r="AE26" s="374" t="e">
        <f>#REF!+#REF!+#REF!</f>
        <v>#REF!</v>
      </c>
      <c r="AF26" s="374" t="e">
        <f>#REF!+#REF!+#REF!</f>
        <v>#REF!</v>
      </c>
      <c r="AG26" s="374" t="e">
        <f>#REF!+#REF!+#REF!</f>
        <v>#REF!</v>
      </c>
      <c r="AH26" s="374" t="e">
        <f>#REF!+#REF!+#REF!</f>
        <v>#REF!</v>
      </c>
      <c r="AI26" s="374" t="e">
        <f>#REF!+#REF!+#REF!</f>
        <v>#REF!</v>
      </c>
      <c r="AJ26" s="374" t="e">
        <f>#REF!+#REF!+#REF!</f>
        <v>#REF!</v>
      </c>
      <c r="AK26" s="374" t="e">
        <f>#REF!+#REF!+#REF!</f>
        <v>#REF!</v>
      </c>
      <c r="AL26" s="374" t="e">
        <f>#REF!+#REF!+#REF!</f>
        <v>#REF!</v>
      </c>
    </row>
    <row r="27" spans="1:38" s="385" customFormat="1" ht="18.75" customHeight="1">
      <c r="A27" s="843"/>
      <c r="B27" s="844" t="s">
        <v>656</v>
      </c>
      <c r="C27" s="843" t="s">
        <v>509</v>
      </c>
      <c r="D27" s="845">
        <f>D30+D39+D48</f>
        <v>15099</v>
      </c>
      <c r="E27" s="845">
        <f>E30+E39+E48</f>
        <v>16245</v>
      </c>
      <c r="F27" s="845">
        <f aca="true" t="shared" si="10" ref="F27:T27">F30+F39+F48</f>
        <v>12947</v>
      </c>
      <c r="G27" s="845">
        <f t="shared" si="10"/>
        <v>16245</v>
      </c>
      <c r="H27" s="845">
        <f t="shared" si="10"/>
        <v>15960</v>
      </c>
      <c r="I27" s="845">
        <f t="shared" si="10"/>
        <v>2797</v>
      </c>
      <c r="J27" s="845">
        <f t="shared" si="10"/>
        <v>1528</v>
      </c>
      <c r="K27" s="845">
        <f t="shared" si="10"/>
        <v>2257</v>
      </c>
      <c r="L27" s="845">
        <f t="shared" si="10"/>
        <v>882</v>
      </c>
      <c r="M27" s="845">
        <f t="shared" si="10"/>
        <v>1395</v>
      </c>
      <c r="N27" s="845">
        <f t="shared" si="10"/>
        <v>1531</v>
      </c>
      <c r="O27" s="845">
        <f t="shared" si="10"/>
        <v>868</v>
      </c>
      <c r="P27" s="845">
        <f t="shared" si="10"/>
        <v>941</v>
      </c>
      <c r="Q27" s="845">
        <f t="shared" si="10"/>
        <v>643</v>
      </c>
      <c r="R27" s="845">
        <f t="shared" si="10"/>
        <v>1339</v>
      </c>
      <c r="S27" s="845">
        <f t="shared" si="10"/>
        <v>1195</v>
      </c>
      <c r="T27" s="845">
        <f t="shared" si="10"/>
        <v>584</v>
      </c>
      <c r="U27" s="846">
        <f>G27/D27*100</f>
        <v>107.58990661633221</v>
      </c>
      <c r="V27" s="846">
        <f>H27/G27%</f>
        <v>98.24561403508773</v>
      </c>
      <c r="W27" s="384"/>
      <c r="X27" s="358"/>
      <c r="Y27" s="357"/>
      <c r="Z27" s="358"/>
      <c r="AA27" s="374"/>
      <c r="AB27" s="374"/>
      <c r="AC27" s="361"/>
      <c r="AD27" s="374"/>
      <c r="AE27" s="374"/>
      <c r="AF27" s="374"/>
      <c r="AG27" s="374"/>
      <c r="AH27" s="374"/>
      <c r="AI27" s="374"/>
      <c r="AJ27" s="374"/>
      <c r="AK27" s="374"/>
      <c r="AL27" s="374"/>
    </row>
    <row r="28" spans="1:38" s="389" customFormat="1" ht="18.75" customHeight="1">
      <c r="A28" s="855"/>
      <c r="B28" s="870" t="s">
        <v>657</v>
      </c>
      <c r="C28" s="855" t="s">
        <v>509</v>
      </c>
      <c r="D28" s="857">
        <f>D31+D40+D50</f>
        <v>8593</v>
      </c>
      <c r="E28" s="857">
        <f>E31+E40+E50</f>
        <v>9113</v>
      </c>
      <c r="F28" s="857">
        <f aca="true" t="shared" si="11" ref="F28:T28">F31+F40+F50</f>
        <v>6586</v>
      </c>
      <c r="G28" s="857">
        <f t="shared" si="11"/>
        <v>9113</v>
      </c>
      <c r="H28" s="857">
        <f t="shared" si="11"/>
        <v>9265</v>
      </c>
      <c r="I28" s="857">
        <f t="shared" si="11"/>
        <v>826</v>
      </c>
      <c r="J28" s="857">
        <f t="shared" si="11"/>
        <v>924</v>
      </c>
      <c r="K28" s="857">
        <f t="shared" si="11"/>
        <v>1137</v>
      </c>
      <c r="L28" s="857">
        <f t="shared" si="11"/>
        <v>426</v>
      </c>
      <c r="M28" s="857">
        <f t="shared" si="11"/>
        <v>971</v>
      </c>
      <c r="N28" s="857">
        <f t="shared" si="11"/>
        <v>1110</v>
      </c>
      <c r="O28" s="857">
        <f t="shared" si="11"/>
        <v>658</v>
      </c>
      <c r="P28" s="857">
        <f t="shared" si="11"/>
        <v>524</v>
      </c>
      <c r="Q28" s="857">
        <f t="shared" si="11"/>
        <v>343</v>
      </c>
      <c r="R28" s="857">
        <f t="shared" si="11"/>
        <v>1016</v>
      </c>
      <c r="S28" s="857">
        <f t="shared" si="11"/>
        <v>982</v>
      </c>
      <c r="T28" s="857">
        <f t="shared" si="11"/>
        <v>348</v>
      </c>
      <c r="U28" s="851">
        <f>G28/D28*100</f>
        <v>106.05143721633887</v>
      </c>
      <c r="V28" s="851">
        <f>H28/G28%</f>
        <v>101.66794688905959</v>
      </c>
      <c r="W28" s="373"/>
      <c r="X28" s="366"/>
      <c r="Y28" s="365"/>
      <c r="Z28" s="366"/>
      <c r="AA28" s="370"/>
      <c r="AB28" s="370"/>
      <c r="AC28" s="369"/>
      <c r="AD28" s="370"/>
      <c r="AE28" s="370"/>
      <c r="AF28" s="370"/>
      <c r="AG28" s="370"/>
      <c r="AH28" s="370"/>
      <c r="AI28" s="370"/>
      <c r="AJ28" s="370"/>
      <c r="AK28" s="370"/>
      <c r="AL28" s="370"/>
    </row>
    <row r="29" spans="1:38" s="385" customFormat="1" ht="18.75" customHeight="1">
      <c r="A29" s="843">
        <v>1</v>
      </c>
      <c r="B29" s="844" t="s">
        <v>79</v>
      </c>
      <c r="C29" s="843"/>
      <c r="D29" s="845"/>
      <c r="E29" s="845"/>
      <c r="F29" s="845"/>
      <c r="G29" s="845"/>
      <c r="H29" s="845"/>
      <c r="I29" s="845"/>
      <c r="J29" s="845"/>
      <c r="K29" s="845"/>
      <c r="L29" s="845"/>
      <c r="M29" s="845"/>
      <c r="N29" s="845"/>
      <c r="O29" s="845"/>
      <c r="P29" s="845"/>
      <c r="Q29" s="845"/>
      <c r="R29" s="845"/>
      <c r="S29" s="845"/>
      <c r="T29" s="845"/>
      <c r="U29" s="846"/>
      <c r="V29" s="846"/>
      <c r="W29" s="384"/>
      <c r="X29" s="358"/>
      <c r="Y29" s="357"/>
      <c r="Z29" s="358"/>
      <c r="AA29" s="374"/>
      <c r="AB29" s="374"/>
      <c r="AC29" s="361"/>
      <c r="AD29" s="374"/>
      <c r="AE29" s="374"/>
      <c r="AF29" s="374"/>
      <c r="AG29" s="374"/>
      <c r="AH29" s="374"/>
      <c r="AI29" s="374"/>
      <c r="AJ29" s="374"/>
      <c r="AK29" s="374"/>
      <c r="AL29" s="374"/>
    </row>
    <row r="30" spans="1:41" s="355" customFormat="1" ht="18.75" customHeight="1">
      <c r="A30" s="843" t="s">
        <v>175</v>
      </c>
      <c r="B30" s="844" t="s">
        <v>271</v>
      </c>
      <c r="C30" s="843" t="s">
        <v>509</v>
      </c>
      <c r="D30" s="849">
        <v>8418</v>
      </c>
      <c r="E30" s="849">
        <v>8377</v>
      </c>
      <c r="F30" s="849">
        <v>7322</v>
      </c>
      <c r="G30" s="503">
        <v>8377</v>
      </c>
      <c r="H30" s="871">
        <f>SUM(I30:T30)</f>
        <v>8260</v>
      </c>
      <c r="I30" s="504">
        <f>637+557</f>
        <v>1194</v>
      </c>
      <c r="J30" s="504">
        <v>664</v>
      </c>
      <c r="K30" s="504">
        <v>1037</v>
      </c>
      <c r="L30" s="504">
        <v>532</v>
      </c>
      <c r="M30" s="504">
        <f>468+344</f>
        <v>812</v>
      </c>
      <c r="N30" s="504">
        <f>455+453</f>
        <v>908</v>
      </c>
      <c r="O30" s="504">
        <v>490</v>
      </c>
      <c r="P30" s="504">
        <v>529</v>
      </c>
      <c r="Q30" s="504">
        <v>383</v>
      </c>
      <c r="R30" s="504">
        <v>669</v>
      </c>
      <c r="S30" s="504">
        <v>687</v>
      </c>
      <c r="T30" s="504">
        <v>355</v>
      </c>
      <c r="U30" s="846">
        <f>G30/D30*100</f>
        <v>99.51294844381088</v>
      </c>
      <c r="V30" s="872">
        <f>H30/G30%</f>
        <v>98.60331861048108</v>
      </c>
      <c r="W30" s="384"/>
      <c r="X30" s="386"/>
      <c r="Y30" s="387"/>
      <c r="Z30" s="358"/>
      <c r="AA30" s="359"/>
      <c r="AB30" s="360"/>
      <c r="AC30" s="361"/>
      <c r="AD30" s="374"/>
      <c r="AE30" s="374"/>
      <c r="AF30" s="354"/>
      <c r="AG30" s="354"/>
      <c r="AH30" s="374"/>
      <c r="AI30" s="356"/>
      <c r="AJ30" s="374"/>
      <c r="AK30" s="356"/>
      <c r="AL30" s="374"/>
      <c r="AO30" s="384"/>
    </row>
    <row r="31" spans="1:38" s="355" customFormat="1" ht="16.5" customHeight="1">
      <c r="A31" s="873"/>
      <c r="B31" s="868" t="s">
        <v>75</v>
      </c>
      <c r="C31" s="855" t="s">
        <v>509</v>
      </c>
      <c r="D31" s="499">
        <v>4308</v>
      </c>
      <c r="E31" s="499">
        <v>4278</v>
      </c>
      <c r="F31" s="499">
        <v>3185</v>
      </c>
      <c r="G31" s="499">
        <v>4278</v>
      </c>
      <c r="H31" s="874">
        <f>SUM(I31:T31)</f>
        <v>4446</v>
      </c>
      <c r="I31" s="499">
        <f>181+59</f>
        <v>240</v>
      </c>
      <c r="J31" s="499">
        <v>448</v>
      </c>
      <c r="K31" s="499">
        <v>387</v>
      </c>
      <c r="L31" s="499">
        <v>239</v>
      </c>
      <c r="M31" s="499">
        <f>295+211</f>
        <v>506</v>
      </c>
      <c r="N31" s="499">
        <f>336+236</f>
        <v>572</v>
      </c>
      <c r="O31" s="499">
        <v>346</v>
      </c>
      <c r="P31" s="499">
        <v>313</v>
      </c>
      <c r="Q31" s="499">
        <v>191</v>
      </c>
      <c r="R31" s="499">
        <v>463</v>
      </c>
      <c r="S31" s="499">
        <v>544</v>
      </c>
      <c r="T31" s="499">
        <v>197</v>
      </c>
      <c r="U31" s="875">
        <f>G31/D31*100</f>
        <v>99.30362116991644</v>
      </c>
      <c r="V31" s="852">
        <f>H31/G31%</f>
        <v>103.92706872370266</v>
      </c>
      <c r="W31" s="373"/>
      <c r="X31" s="386"/>
      <c r="Y31" s="387"/>
      <c r="Z31" s="366"/>
      <c r="AA31" s="359"/>
      <c r="AB31" s="360"/>
      <c r="AC31" s="361"/>
      <c r="AD31" s="374"/>
      <c r="AE31" s="374"/>
      <c r="AF31" s="354"/>
      <c r="AG31" s="354"/>
      <c r="AH31" s="374"/>
      <c r="AI31" s="356"/>
      <c r="AJ31" s="374"/>
      <c r="AK31" s="356"/>
      <c r="AL31" s="374"/>
    </row>
    <row r="32" spans="1:38" s="389" customFormat="1" ht="18.75" customHeight="1">
      <c r="A32" s="855"/>
      <c r="B32" s="856" t="s">
        <v>244</v>
      </c>
      <c r="C32" s="855" t="s">
        <v>237</v>
      </c>
      <c r="D32" s="505">
        <v>296</v>
      </c>
      <c r="E32" s="505">
        <v>304</v>
      </c>
      <c r="F32" s="505">
        <v>281</v>
      </c>
      <c r="G32" s="505">
        <v>304</v>
      </c>
      <c r="H32" s="876">
        <f>SUM(I32:T32)</f>
        <v>302</v>
      </c>
      <c r="I32" s="506">
        <f>20+23</f>
        <v>43</v>
      </c>
      <c r="J32" s="506">
        <v>22</v>
      </c>
      <c r="K32" s="507">
        <v>39</v>
      </c>
      <c r="L32" s="506">
        <v>20</v>
      </c>
      <c r="M32" s="506">
        <v>30</v>
      </c>
      <c r="N32" s="506">
        <v>34</v>
      </c>
      <c r="O32" s="506">
        <v>19</v>
      </c>
      <c r="P32" s="506">
        <v>19</v>
      </c>
      <c r="Q32" s="506">
        <v>15</v>
      </c>
      <c r="R32" s="506">
        <v>24</v>
      </c>
      <c r="S32" s="506">
        <v>22</v>
      </c>
      <c r="T32" s="506">
        <v>15</v>
      </c>
      <c r="U32" s="875">
        <f>G32/D32*100</f>
        <v>102.7027027027027</v>
      </c>
      <c r="V32" s="852">
        <f>H32/G32%</f>
        <v>99.34210526315789</v>
      </c>
      <c r="W32" s="373"/>
      <c r="X32" s="366"/>
      <c r="Y32" s="365"/>
      <c r="Z32" s="366"/>
      <c r="AA32" s="370"/>
      <c r="AB32" s="370"/>
      <c r="AC32" s="369"/>
      <c r="AD32" s="370"/>
      <c r="AE32" s="370"/>
      <c r="AF32" s="370"/>
      <c r="AG32" s="370"/>
      <c r="AH32" s="370"/>
      <c r="AI32" s="370"/>
      <c r="AJ32" s="370"/>
      <c r="AK32" s="370"/>
      <c r="AL32" s="370"/>
    </row>
    <row r="33" spans="1:38" s="372" customFormat="1" ht="18" customHeight="1">
      <c r="A33" s="855"/>
      <c r="B33" s="856" t="s">
        <v>80</v>
      </c>
      <c r="C33" s="855" t="s">
        <v>13</v>
      </c>
      <c r="D33" s="500">
        <v>99.9</v>
      </c>
      <c r="E33" s="502">
        <v>100</v>
      </c>
      <c r="F33" s="502">
        <v>100</v>
      </c>
      <c r="G33" s="501">
        <v>100</v>
      </c>
      <c r="H33" s="501">
        <v>100</v>
      </c>
      <c r="I33" s="501">
        <v>100</v>
      </c>
      <c r="J33" s="501">
        <v>100</v>
      </c>
      <c r="K33" s="501">
        <v>100</v>
      </c>
      <c r="L33" s="501">
        <v>100</v>
      </c>
      <c r="M33" s="501">
        <v>100</v>
      </c>
      <c r="N33" s="501">
        <v>100</v>
      </c>
      <c r="O33" s="501">
        <v>100</v>
      </c>
      <c r="P33" s="501">
        <v>100</v>
      </c>
      <c r="Q33" s="501">
        <v>100</v>
      </c>
      <c r="R33" s="501">
        <v>100</v>
      </c>
      <c r="S33" s="501">
        <v>100</v>
      </c>
      <c r="T33" s="501">
        <v>100</v>
      </c>
      <c r="U33" s="875">
        <f>G33-D33</f>
        <v>0.09999999999999432</v>
      </c>
      <c r="V33" s="862"/>
      <c r="W33" s="390"/>
      <c r="X33" s="366"/>
      <c r="Y33" s="365" t="s">
        <v>81</v>
      </c>
      <c r="Z33" s="366" t="s">
        <v>13</v>
      </c>
      <c r="AA33" s="375">
        <v>99.1</v>
      </c>
      <c r="AB33" s="378">
        <v>99.46</v>
      </c>
      <c r="AC33" s="376">
        <v>99.3</v>
      </c>
      <c r="AD33" s="370">
        <v>100</v>
      </c>
      <c r="AE33" s="391">
        <v>99.9</v>
      </c>
      <c r="AF33" s="392">
        <v>99.5</v>
      </c>
      <c r="AG33" s="392">
        <v>98.6</v>
      </c>
      <c r="AH33" s="375">
        <v>99.8</v>
      </c>
      <c r="AI33" s="364">
        <v>95.2</v>
      </c>
      <c r="AJ33" s="370">
        <v>100</v>
      </c>
      <c r="AK33" s="364">
        <v>99.3</v>
      </c>
      <c r="AL33" s="391">
        <v>99.8</v>
      </c>
    </row>
    <row r="34" spans="1:38" s="372" customFormat="1" ht="18" customHeight="1">
      <c r="A34" s="855"/>
      <c r="B34" s="856" t="s">
        <v>564</v>
      </c>
      <c r="C34" s="855" t="s">
        <v>13</v>
      </c>
      <c r="D34" s="500">
        <v>99.9</v>
      </c>
      <c r="E34" s="500">
        <v>99.9</v>
      </c>
      <c r="F34" s="500">
        <v>99.8</v>
      </c>
      <c r="G34" s="508">
        <v>99.9</v>
      </c>
      <c r="H34" s="508">
        <v>99.9</v>
      </c>
      <c r="I34" s="501">
        <v>100</v>
      </c>
      <c r="J34" s="501">
        <v>100</v>
      </c>
      <c r="K34" s="501">
        <v>100</v>
      </c>
      <c r="L34" s="508">
        <f>542/544%</f>
        <v>99.63235294117646</v>
      </c>
      <c r="M34" s="508">
        <v>99.8</v>
      </c>
      <c r="N34" s="501">
        <v>100</v>
      </c>
      <c r="O34" s="501">
        <v>100</v>
      </c>
      <c r="P34" s="501">
        <v>100</v>
      </c>
      <c r="Q34" s="501">
        <v>100</v>
      </c>
      <c r="R34" s="501">
        <v>100</v>
      </c>
      <c r="S34" s="501">
        <v>100</v>
      </c>
      <c r="T34" s="501">
        <v>100</v>
      </c>
      <c r="U34" s="875"/>
      <c r="V34" s="862"/>
      <c r="W34" s="390"/>
      <c r="X34" s="366"/>
      <c r="Y34" s="365" t="s">
        <v>82</v>
      </c>
      <c r="Z34" s="366" t="s">
        <v>13</v>
      </c>
      <c r="AA34" s="375">
        <v>99.2</v>
      </c>
      <c r="AB34" s="378">
        <v>99.7</v>
      </c>
      <c r="AC34" s="376">
        <v>99.4</v>
      </c>
      <c r="AD34" s="383">
        <v>100</v>
      </c>
      <c r="AE34" s="379">
        <v>99.5</v>
      </c>
      <c r="AF34" s="378">
        <v>99.3</v>
      </c>
      <c r="AG34" s="378">
        <v>99.9</v>
      </c>
      <c r="AH34" s="378">
        <v>99.5</v>
      </c>
      <c r="AI34" s="393">
        <v>95.4</v>
      </c>
      <c r="AJ34" s="379">
        <v>97.04</v>
      </c>
      <c r="AK34" s="393">
        <v>99</v>
      </c>
      <c r="AL34" s="391">
        <v>94</v>
      </c>
    </row>
    <row r="35" spans="1:38" s="372" customFormat="1" ht="16.5" customHeight="1">
      <c r="A35" s="855"/>
      <c r="B35" s="856" t="s">
        <v>76</v>
      </c>
      <c r="C35" s="855" t="s">
        <v>13</v>
      </c>
      <c r="D35" s="500">
        <v>49.1</v>
      </c>
      <c r="E35" s="500">
        <v>48.7</v>
      </c>
      <c r="F35" s="500">
        <v>47.8</v>
      </c>
      <c r="G35" s="508">
        <v>48.7</v>
      </c>
      <c r="H35" s="508">
        <f>3984/H30%</f>
        <v>48.232445520581116</v>
      </c>
      <c r="I35" s="509">
        <f>(275+258)/I30%</f>
        <v>44.63986599664992</v>
      </c>
      <c r="J35" s="509">
        <f>297/J30%</f>
        <v>44.72891566265061</v>
      </c>
      <c r="K35" s="509">
        <f>508/K30%</f>
        <v>48.98746383799422</v>
      </c>
      <c r="L35" s="509">
        <f>252/L30%</f>
        <v>47.368421052631575</v>
      </c>
      <c r="M35" s="509">
        <f>(230+154)/M30%</f>
        <v>47.290640394088676</v>
      </c>
      <c r="N35" s="509">
        <f>(217+218)/N30%</f>
        <v>47.90748898678414</v>
      </c>
      <c r="O35" s="509">
        <f>249/O30%</f>
        <v>50.816326530612244</v>
      </c>
      <c r="P35" s="509">
        <f>270/P30%</f>
        <v>51.039697542533084</v>
      </c>
      <c r="Q35" s="509">
        <f>226/Q30%</f>
        <v>59.007832898172325</v>
      </c>
      <c r="R35" s="509">
        <f>328/R30%</f>
        <v>49.02840059790732</v>
      </c>
      <c r="S35" s="509">
        <f>345/S30%</f>
        <v>50.21834061135371</v>
      </c>
      <c r="T35" s="509">
        <f>157/T30%</f>
        <v>44.225352112676056</v>
      </c>
      <c r="U35" s="877">
        <f>G35-D35</f>
        <v>-0.3999999999999986</v>
      </c>
      <c r="V35" s="877">
        <f>H35-G35</f>
        <v>-0.4675544794188866</v>
      </c>
      <c r="W35" s="373"/>
      <c r="X35" s="366"/>
      <c r="Y35" s="365" t="s">
        <v>76</v>
      </c>
      <c r="Z35" s="366" t="s">
        <v>13</v>
      </c>
      <c r="AA35" s="375">
        <v>47</v>
      </c>
      <c r="AB35" s="378" t="e">
        <f>28123/AB30*100</f>
        <v>#DIV/0!</v>
      </c>
      <c r="AC35" s="376">
        <v>47.2</v>
      </c>
      <c r="AD35" s="379">
        <v>47.93611793611793</v>
      </c>
      <c r="AE35" s="379">
        <v>48.62139917695473</v>
      </c>
      <c r="AF35" s="379">
        <v>46.16216216216216</v>
      </c>
      <c r="AG35" s="379">
        <v>47.294117647058826</v>
      </c>
      <c r="AH35" s="379">
        <v>47.70328102710414</v>
      </c>
      <c r="AI35" s="379">
        <v>44.525193798449614</v>
      </c>
      <c r="AJ35" s="379">
        <v>47.80911062906725</v>
      </c>
      <c r="AK35" s="379">
        <v>47.75240384615385</v>
      </c>
      <c r="AL35" s="379">
        <v>40.44628099173554</v>
      </c>
    </row>
    <row r="36" spans="1:38" s="372" customFormat="1" ht="16.5" customHeight="1">
      <c r="A36" s="855"/>
      <c r="B36" s="856" t="s">
        <v>77</v>
      </c>
      <c r="C36" s="855" t="s">
        <v>13</v>
      </c>
      <c r="D36" s="878"/>
      <c r="E36" s="878"/>
      <c r="F36" s="878">
        <v>0.12</v>
      </c>
      <c r="G36" s="510"/>
      <c r="H36" s="879"/>
      <c r="I36" s="511"/>
      <c r="J36" s="511"/>
      <c r="K36" s="511"/>
      <c r="L36" s="511"/>
      <c r="M36" s="511"/>
      <c r="N36" s="511"/>
      <c r="O36" s="511"/>
      <c r="P36" s="511"/>
      <c r="Q36" s="511"/>
      <c r="R36" s="511"/>
      <c r="S36" s="511"/>
      <c r="T36" s="511"/>
      <c r="U36" s="865"/>
      <c r="V36" s="865"/>
      <c r="W36" s="373"/>
      <c r="X36" s="366"/>
      <c r="Y36" s="365" t="s">
        <v>77</v>
      </c>
      <c r="Z36" s="366" t="s">
        <v>13</v>
      </c>
      <c r="AA36" s="388">
        <v>0.5</v>
      </c>
      <c r="AB36" s="394">
        <v>0.48</v>
      </c>
      <c r="AC36" s="395">
        <f>SUM(AD36:AL36)/9</f>
        <v>0.4555555555555556</v>
      </c>
      <c r="AD36" s="379" t="s">
        <v>83</v>
      </c>
      <c r="AE36" s="379">
        <v>0</v>
      </c>
      <c r="AF36" s="378">
        <v>0.2</v>
      </c>
      <c r="AG36" s="378">
        <v>1.9</v>
      </c>
      <c r="AH36" s="379">
        <v>0.2</v>
      </c>
      <c r="AI36" s="393">
        <v>1</v>
      </c>
      <c r="AJ36" s="379"/>
      <c r="AK36" s="393">
        <v>0.2</v>
      </c>
      <c r="AL36" s="391">
        <v>0.6</v>
      </c>
    </row>
    <row r="37" spans="1:41" s="407" customFormat="1" ht="16.5" customHeight="1">
      <c r="A37" s="880"/>
      <c r="B37" s="881" t="s">
        <v>78</v>
      </c>
      <c r="C37" s="880" t="s">
        <v>13</v>
      </c>
      <c r="D37" s="882"/>
      <c r="E37" s="496">
        <v>1.6</v>
      </c>
      <c r="F37" s="882"/>
      <c r="G37" s="496"/>
      <c r="H37" s="512"/>
      <c r="I37" s="513"/>
      <c r="J37" s="513"/>
      <c r="K37" s="512"/>
      <c r="L37" s="512"/>
      <c r="M37" s="512"/>
      <c r="N37" s="512"/>
      <c r="O37" s="512"/>
      <c r="P37" s="512"/>
      <c r="Q37" s="512"/>
      <c r="R37" s="512"/>
      <c r="S37" s="512"/>
      <c r="T37" s="512"/>
      <c r="U37" s="883"/>
      <c r="V37" s="883"/>
      <c r="W37" s="398"/>
      <c r="X37" s="399"/>
      <c r="Y37" s="400"/>
      <c r="Z37" s="399"/>
      <c r="AA37" s="401"/>
      <c r="AB37" s="396"/>
      <c r="AC37" s="402"/>
      <c r="AD37" s="403"/>
      <c r="AE37" s="403"/>
      <c r="AF37" s="397"/>
      <c r="AG37" s="397"/>
      <c r="AH37" s="403"/>
      <c r="AI37" s="404"/>
      <c r="AJ37" s="403"/>
      <c r="AK37" s="404"/>
      <c r="AL37" s="405"/>
      <c r="AM37" s="406"/>
      <c r="AN37" s="406"/>
      <c r="AO37" s="406"/>
    </row>
    <row r="38" spans="1:38" s="372" customFormat="1" ht="19.5" customHeight="1">
      <c r="A38" s="855">
        <v>2</v>
      </c>
      <c r="B38" s="844" t="s">
        <v>84</v>
      </c>
      <c r="C38" s="855"/>
      <c r="D38" s="497"/>
      <c r="E38" s="867"/>
      <c r="F38" s="497"/>
      <c r="G38" s="884"/>
      <c r="H38" s="884"/>
      <c r="I38" s="884"/>
      <c r="J38" s="884"/>
      <c r="K38" s="884"/>
      <c r="L38" s="884"/>
      <c r="M38" s="884"/>
      <c r="N38" s="884"/>
      <c r="O38" s="884"/>
      <c r="P38" s="884"/>
      <c r="Q38" s="884"/>
      <c r="R38" s="884"/>
      <c r="S38" s="884"/>
      <c r="T38" s="884"/>
      <c r="U38" s="877"/>
      <c r="V38" s="877"/>
      <c r="W38" s="373"/>
      <c r="X38" s="366"/>
      <c r="Y38" s="365"/>
      <c r="Z38" s="366"/>
      <c r="AA38" s="375"/>
      <c r="AB38" s="378"/>
      <c r="AC38" s="395"/>
      <c r="AD38" s="379"/>
      <c r="AE38" s="379"/>
      <c r="AF38" s="378"/>
      <c r="AG38" s="378"/>
      <c r="AH38" s="379"/>
      <c r="AI38" s="393"/>
      <c r="AJ38" s="379"/>
      <c r="AK38" s="393"/>
      <c r="AL38" s="391"/>
    </row>
    <row r="39" spans="1:41" s="355" customFormat="1" ht="16.5" customHeight="1">
      <c r="A39" s="843" t="s">
        <v>175</v>
      </c>
      <c r="B39" s="844" t="s">
        <v>271</v>
      </c>
      <c r="C39" s="843" t="s">
        <v>509</v>
      </c>
      <c r="D39" s="514">
        <v>5007</v>
      </c>
      <c r="E39" s="514">
        <v>5763</v>
      </c>
      <c r="F39" s="514">
        <v>4423</v>
      </c>
      <c r="G39" s="514">
        <v>5763</v>
      </c>
      <c r="H39" s="876">
        <f>SUM(I39:T39)</f>
        <v>5833</v>
      </c>
      <c r="I39" s="514">
        <v>457</v>
      </c>
      <c r="J39" s="514">
        <v>864</v>
      </c>
      <c r="K39" s="515">
        <v>800</v>
      </c>
      <c r="L39" s="514">
        <v>350</v>
      </c>
      <c r="M39" s="514">
        <v>583</v>
      </c>
      <c r="N39" s="514">
        <v>623</v>
      </c>
      <c r="O39" s="514">
        <v>378</v>
      </c>
      <c r="P39" s="514">
        <v>412</v>
      </c>
      <c r="Q39" s="514">
        <v>260</v>
      </c>
      <c r="R39" s="516">
        <v>369</v>
      </c>
      <c r="S39" s="514">
        <v>508</v>
      </c>
      <c r="T39" s="514">
        <v>229</v>
      </c>
      <c r="U39" s="885">
        <f>G39/D39*100</f>
        <v>115.09886159376872</v>
      </c>
      <c r="V39" s="872">
        <f>H39/G39%</f>
        <v>101.21464515009544</v>
      </c>
      <c r="W39" s="384"/>
      <c r="X39" s="386" t="s">
        <v>170</v>
      </c>
      <c r="Y39" s="387" t="s">
        <v>84</v>
      </c>
      <c r="Z39" s="358" t="s">
        <v>60</v>
      </c>
      <c r="AA39" s="359">
        <v>37088</v>
      </c>
      <c r="AB39" s="360">
        <v>36424</v>
      </c>
      <c r="AC39" s="361">
        <f>SUM(AD39:AL39)</f>
        <v>37274</v>
      </c>
      <c r="AD39" s="374">
        <v>2800</v>
      </c>
      <c r="AE39" s="374">
        <v>7014</v>
      </c>
      <c r="AF39" s="374">
        <v>4550</v>
      </c>
      <c r="AG39" s="374">
        <v>550</v>
      </c>
      <c r="AH39" s="374">
        <v>4800</v>
      </c>
      <c r="AI39" s="356">
        <v>5210</v>
      </c>
      <c r="AJ39" s="374">
        <v>3550</v>
      </c>
      <c r="AK39" s="356">
        <v>5850</v>
      </c>
      <c r="AL39" s="374">
        <v>2950</v>
      </c>
      <c r="AN39" s="384"/>
      <c r="AO39" s="384"/>
    </row>
    <row r="40" spans="1:38" s="355" customFormat="1" ht="16.5" customHeight="1">
      <c r="A40" s="873"/>
      <c r="B40" s="868" t="s">
        <v>75</v>
      </c>
      <c r="C40" s="855" t="s">
        <v>509</v>
      </c>
      <c r="D40" s="502">
        <v>3445</v>
      </c>
      <c r="E40" s="502">
        <v>3635</v>
      </c>
      <c r="F40" s="502">
        <v>2732</v>
      </c>
      <c r="G40" s="501">
        <v>3635</v>
      </c>
      <c r="H40" s="874">
        <f>SUM(I40:T40)</f>
        <v>3751</v>
      </c>
      <c r="I40" s="499">
        <v>20</v>
      </c>
      <c r="J40" s="499">
        <v>476</v>
      </c>
      <c r="K40" s="517">
        <v>500</v>
      </c>
      <c r="L40" s="499">
        <v>187</v>
      </c>
      <c r="M40" s="499">
        <v>465</v>
      </c>
      <c r="N40" s="499">
        <v>538</v>
      </c>
      <c r="O40" s="499">
        <v>312</v>
      </c>
      <c r="P40" s="499">
        <v>211</v>
      </c>
      <c r="Q40" s="499">
        <v>152</v>
      </c>
      <c r="R40" s="518">
        <v>301</v>
      </c>
      <c r="S40" s="499">
        <v>438</v>
      </c>
      <c r="T40" s="499">
        <v>151</v>
      </c>
      <c r="U40" s="851">
        <f>G40/D40*100</f>
        <v>105.51523947750363</v>
      </c>
      <c r="V40" s="852">
        <f>H40/G40%</f>
        <v>103.19119669876203</v>
      </c>
      <c r="W40" s="373"/>
      <c r="X40" s="386"/>
      <c r="Y40" s="387"/>
      <c r="Z40" s="366"/>
      <c r="AA40" s="359"/>
      <c r="AB40" s="360"/>
      <c r="AC40" s="361"/>
      <c r="AD40" s="374"/>
      <c r="AE40" s="374"/>
      <c r="AF40" s="374"/>
      <c r="AG40" s="374"/>
      <c r="AH40" s="374"/>
      <c r="AI40" s="356"/>
      <c r="AJ40" s="374"/>
      <c r="AK40" s="356"/>
      <c r="AL40" s="374"/>
    </row>
    <row r="41" spans="1:38" s="389" customFormat="1" ht="18.75" customHeight="1">
      <c r="A41" s="855"/>
      <c r="B41" s="856" t="s">
        <v>244</v>
      </c>
      <c r="C41" s="855" t="s">
        <v>237</v>
      </c>
      <c r="D41" s="502">
        <v>138</v>
      </c>
      <c r="E41" s="502">
        <v>148</v>
      </c>
      <c r="F41" s="502">
        <v>128</v>
      </c>
      <c r="G41" s="501">
        <v>148</v>
      </c>
      <c r="H41" s="874">
        <f>SUM(I41:T41)</f>
        <v>151</v>
      </c>
      <c r="I41" s="499">
        <v>12</v>
      </c>
      <c r="J41" s="499">
        <v>21</v>
      </c>
      <c r="K41" s="517">
        <v>20</v>
      </c>
      <c r="L41" s="499">
        <v>9</v>
      </c>
      <c r="M41" s="499">
        <v>14</v>
      </c>
      <c r="N41" s="499">
        <v>15</v>
      </c>
      <c r="O41" s="499">
        <v>11</v>
      </c>
      <c r="P41" s="499">
        <v>12</v>
      </c>
      <c r="Q41" s="499">
        <v>8</v>
      </c>
      <c r="R41" s="518">
        <v>8</v>
      </c>
      <c r="S41" s="499">
        <v>14</v>
      </c>
      <c r="T41" s="499">
        <v>7</v>
      </c>
      <c r="U41" s="851">
        <f>G41/D41*100</f>
        <v>107.24637681159422</v>
      </c>
      <c r="V41" s="852">
        <f>H41/G41%</f>
        <v>102.02702702702703</v>
      </c>
      <c r="W41" s="373"/>
      <c r="X41" s="366"/>
      <c r="Y41" s="365"/>
      <c r="Z41" s="366"/>
      <c r="AA41" s="370"/>
      <c r="AB41" s="370"/>
      <c r="AC41" s="369"/>
      <c r="AD41" s="370"/>
      <c r="AE41" s="370"/>
      <c r="AF41" s="370"/>
      <c r="AG41" s="370"/>
      <c r="AH41" s="370"/>
      <c r="AI41" s="370"/>
      <c r="AJ41" s="370"/>
      <c r="AK41" s="370"/>
      <c r="AL41" s="370"/>
    </row>
    <row r="42" spans="1:38" s="372" customFormat="1" ht="16.5" customHeight="1">
      <c r="A42" s="855"/>
      <c r="B42" s="856" t="s">
        <v>85</v>
      </c>
      <c r="C42" s="855" t="s">
        <v>13</v>
      </c>
      <c r="D42" s="500">
        <v>96.4</v>
      </c>
      <c r="E42" s="500">
        <v>97.7</v>
      </c>
      <c r="F42" s="500">
        <v>92.7</v>
      </c>
      <c r="G42" s="555">
        <v>96.5</v>
      </c>
      <c r="H42" s="555">
        <f>(1210+116+224)/(1250+128+228)%</f>
        <v>96.51307596513077</v>
      </c>
      <c r="I42" s="555">
        <f>169/178%</f>
        <v>94.9438202247191</v>
      </c>
      <c r="J42" s="555">
        <f>133/137%</f>
        <v>97.08029197080292</v>
      </c>
      <c r="K42" s="519">
        <f>224/228%</f>
        <v>98.24561403508773</v>
      </c>
      <c r="L42" s="520">
        <f>84/87%</f>
        <v>96.55172413793103</v>
      </c>
      <c r="M42" s="555">
        <f>158/161%</f>
        <v>98.13664596273291</v>
      </c>
      <c r="N42" s="555">
        <f>182/186%</f>
        <v>97.84946236559139</v>
      </c>
      <c r="O42" s="555">
        <f>104/107%</f>
        <v>97.19626168224299</v>
      </c>
      <c r="P42" s="555">
        <f>110/113%</f>
        <v>97.34513274336284</v>
      </c>
      <c r="Q42" s="555">
        <f>81/85%</f>
        <v>95.29411764705883</v>
      </c>
      <c r="R42" s="555">
        <f>116/128%</f>
        <v>90.625</v>
      </c>
      <c r="S42" s="520">
        <f>131/135%</f>
        <v>97.03703703703702</v>
      </c>
      <c r="T42" s="555">
        <f>58/61%</f>
        <v>95.08196721311475</v>
      </c>
      <c r="U42" s="886">
        <f aca="true" t="shared" si="12" ref="U42:V44">G42-F42</f>
        <v>3.799999999999997</v>
      </c>
      <c r="V42" s="865">
        <f t="shared" si="12"/>
        <v>0.013075965130767031</v>
      </c>
      <c r="W42" s="373"/>
      <c r="X42" s="366"/>
      <c r="Y42" s="365" t="s">
        <v>86</v>
      </c>
      <c r="Z42" s="366" t="s">
        <v>13</v>
      </c>
      <c r="AA42" s="375">
        <v>86</v>
      </c>
      <c r="AB42" s="378">
        <v>86.2</v>
      </c>
      <c r="AC42" s="376">
        <v>87.9</v>
      </c>
      <c r="AD42" s="391">
        <v>99</v>
      </c>
      <c r="AE42" s="391">
        <v>98.5</v>
      </c>
      <c r="AF42" s="391">
        <v>90</v>
      </c>
      <c r="AG42" s="408">
        <v>87</v>
      </c>
      <c r="AH42" s="391">
        <v>91</v>
      </c>
      <c r="AI42" s="364">
        <v>80.1</v>
      </c>
      <c r="AJ42" s="391">
        <v>98</v>
      </c>
      <c r="AK42" s="364">
        <v>99</v>
      </c>
      <c r="AL42" s="391">
        <v>66</v>
      </c>
    </row>
    <row r="43" spans="1:38" s="372" customFormat="1" ht="16.5" customHeight="1">
      <c r="A43" s="855"/>
      <c r="B43" s="856" t="s">
        <v>87</v>
      </c>
      <c r="C43" s="855" t="s">
        <v>13</v>
      </c>
      <c r="D43" s="500">
        <v>95.1</v>
      </c>
      <c r="E43" s="502">
        <v>97</v>
      </c>
      <c r="F43" s="500">
        <v>89.6</v>
      </c>
      <c r="G43" s="555">
        <v>96.5</v>
      </c>
      <c r="H43" s="555">
        <f>(4526+389+812)/(4716+408+867)%</f>
        <v>95.5933900851277</v>
      </c>
      <c r="I43" s="520">
        <f>674/688%</f>
        <v>97.96511627906978</v>
      </c>
      <c r="J43" s="555">
        <f>532/551%</f>
        <v>96.55172413793103</v>
      </c>
      <c r="K43" s="555">
        <f>812/867%</f>
        <v>93.6562860438293</v>
      </c>
      <c r="L43" s="555">
        <f>348/368%</f>
        <v>94.56521739130434</v>
      </c>
      <c r="M43" s="555">
        <f>585/594%</f>
        <v>98.48484848484848</v>
      </c>
      <c r="N43" s="555">
        <f>652/670%</f>
        <v>97.31343283582089</v>
      </c>
      <c r="O43" s="555">
        <f>365/389%</f>
        <v>93.83033419023135</v>
      </c>
      <c r="P43" s="555">
        <f>398/418%</f>
        <v>95.2153110047847</v>
      </c>
      <c r="Q43" s="555">
        <f>251/269%</f>
        <v>93.30855018587361</v>
      </c>
      <c r="R43" s="555">
        <f>389/408%</f>
        <v>95.34313725490196</v>
      </c>
      <c r="S43" s="520">
        <f>501/533%</f>
        <v>93.99624765478424</v>
      </c>
      <c r="T43" s="555">
        <f>220/236%</f>
        <v>93.22033898305085</v>
      </c>
      <c r="U43" s="864">
        <f t="shared" si="12"/>
        <v>6.900000000000006</v>
      </c>
      <c r="V43" s="865">
        <f t="shared" si="12"/>
        <v>-0.9066099148723055</v>
      </c>
      <c r="W43" s="373"/>
      <c r="X43" s="366"/>
      <c r="Y43" s="365" t="s">
        <v>87</v>
      </c>
      <c r="Z43" s="366" t="s">
        <v>13</v>
      </c>
      <c r="AA43" s="375">
        <v>88.2</v>
      </c>
      <c r="AB43" s="378">
        <v>87.4</v>
      </c>
      <c r="AC43" s="376">
        <v>88.7</v>
      </c>
      <c r="AD43" s="391">
        <v>98</v>
      </c>
      <c r="AE43" s="391">
        <v>89.5</v>
      </c>
      <c r="AF43" s="391">
        <v>98</v>
      </c>
      <c r="AG43" s="408">
        <v>98</v>
      </c>
      <c r="AH43" s="391">
        <v>95</v>
      </c>
      <c r="AI43" s="364">
        <v>80</v>
      </c>
      <c r="AJ43" s="391">
        <v>95</v>
      </c>
      <c r="AK43" s="364">
        <v>97</v>
      </c>
      <c r="AL43" s="391">
        <v>84.5</v>
      </c>
    </row>
    <row r="44" spans="1:38" s="372" customFormat="1" ht="16.5" customHeight="1">
      <c r="A44" s="855"/>
      <c r="B44" s="856" t="s">
        <v>76</v>
      </c>
      <c r="C44" s="855" t="s">
        <v>13</v>
      </c>
      <c r="D44" s="498">
        <v>46.5</v>
      </c>
      <c r="E44" s="499">
        <v>49</v>
      </c>
      <c r="F44" s="498">
        <v>39.4</v>
      </c>
      <c r="G44" s="499">
        <v>48</v>
      </c>
      <c r="H44" s="501">
        <f>(2296+385+120)/H39%</f>
        <v>48.01988685067718</v>
      </c>
      <c r="I44" s="498">
        <f>203/I39%</f>
        <v>44.42013129102845</v>
      </c>
      <c r="J44" s="498">
        <f>425/J39%</f>
        <v>49.18981481481481</v>
      </c>
      <c r="K44" s="521">
        <f>385/K39%</f>
        <v>48.125</v>
      </c>
      <c r="L44" s="498">
        <f>166/L39%</f>
        <v>47.42857142857143</v>
      </c>
      <c r="M44" s="499">
        <f>309/M39%</f>
        <v>53.00171526586621</v>
      </c>
      <c r="N44" s="498">
        <f>312/N39%</f>
        <v>50.08025682182985</v>
      </c>
      <c r="O44" s="498">
        <f>192/O39%</f>
        <v>50.7936507936508</v>
      </c>
      <c r="P44" s="498">
        <f>203/P39%</f>
        <v>49.271844660194176</v>
      </c>
      <c r="Q44" s="498">
        <f>132/Q39%</f>
        <v>50.76923076923077</v>
      </c>
      <c r="R44" s="522">
        <f>120/R39%</f>
        <v>32.520325203252035</v>
      </c>
      <c r="S44" s="498">
        <f>233/S39%</f>
        <v>45.86614173228347</v>
      </c>
      <c r="T44" s="498">
        <f>121/T39%</f>
        <v>52.838427947598255</v>
      </c>
      <c r="U44" s="864">
        <f t="shared" si="12"/>
        <v>8.600000000000001</v>
      </c>
      <c r="V44" s="865">
        <f t="shared" si="12"/>
        <v>0.019886850677181656</v>
      </c>
      <c r="W44" s="373"/>
      <c r="X44" s="366"/>
      <c r="Y44" s="365" t="s">
        <v>76</v>
      </c>
      <c r="Z44" s="366" t="s">
        <v>13</v>
      </c>
      <c r="AA44" s="375">
        <v>42.3</v>
      </c>
      <c r="AB44" s="378">
        <f>(14840+110+274)/AB39*100</f>
        <v>41.7966176147595</v>
      </c>
      <c r="AC44" s="376">
        <f>15877/AC39*100</f>
        <v>42.59537479208027</v>
      </c>
      <c r="AD44" s="379">
        <v>48.142857142857146</v>
      </c>
      <c r="AE44" s="379">
        <v>44.525235243798114</v>
      </c>
      <c r="AF44" s="379">
        <v>38.527472527472526</v>
      </c>
      <c r="AG44" s="379">
        <v>44.18181818181818</v>
      </c>
      <c r="AH44" s="379">
        <v>39.875</v>
      </c>
      <c r="AI44" s="379">
        <v>35.93090211132438</v>
      </c>
      <c r="AJ44" s="379">
        <v>46.42253521126761</v>
      </c>
      <c r="AK44" s="379">
        <v>44.2905982905983</v>
      </c>
      <c r="AL44" s="379">
        <v>33.389830508474574</v>
      </c>
    </row>
    <row r="45" spans="1:38" s="372" customFormat="1" ht="16.5" customHeight="1">
      <c r="A45" s="855"/>
      <c r="B45" s="856" t="s">
        <v>77</v>
      </c>
      <c r="C45" s="855" t="s">
        <v>13</v>
      </c>
      <c r="D45" s="499">
        <v>1</v>
      </c>
      <c r="E45" s="498">
        <v>0.2</v>
      </c>
      <c r="F45" s="498">
        <v>1.3</v>
      </c>
      <c r="G45" s="498">
        <v>0.2</v>
      </c>
      <c r="H45" s="508"/>
      <c r="I45" s="498"/>
      <c r="J45" s="498"/>
      <c r="K45" s="523"/>
      <c r="L45" s="498"/>
      <c r="M45" s="498"/>
      <c r="N45" s="498"/>
      <c r="O45" s="498"/>
      <c r="P45" s="498"/>
      <c r="Q45" s="498"/>
      <c r="R45" s="524"/>
      <c r="S45" s="498"/>
      <c r="T45" s="498"/>
      <c r="U45" s="864"/>
      <c r="V45" s="864"/>
      <c r="W45" s="373"/>
      <c r="X45" s="366"/>
      <c r="Y45" s="365" t="s">
        <v>77</v>
      </c>
      <c r="Z45" s="366" t="s">
        <v>13</v>
      </c>
      <c r="AA45" s="375">
        <v>1</v>
      </c>
      <c r="AB45" s="378">
        <v>0.9</v>
      </c>
      <c r="AC45" s="376">
        <f>SUM(AD45:AL45)/9</f>
        <v>0.8679999999999999</v>
      </c>
      <c r="AD45" s="379" t="s">
        <v>83</v>
      </c>
      <c r="AE45" s="391">
        <v>0.5</v>
      </c>
      <c r="AF45" s="409">
        <v>0.012</v>
      </c>
      <c r="AG45" s="408">
        <v>2.3</v>
      </c>
      <c r="AH45" s="391">
        <v>1</v>
      </c>
      <c r="AI45" s="364">
        <v>1.5</v>
      </c>
      <c r="AJ45" s="391">
        <v>1</v>
      </c>
      <c r="AK45" s="364">
        <v>1</v>
      </c>
      <c r="AL45" s="391">
        <v>0.5</v>
      </c>
    </row>
    <row r="46" spans="1:38" s="372" customFormat="1" ht="16.5" customHeight="1">
      <c r="A46" s="855"/>
      <c r="B46" s="856" t="s">
        <v>78</v>
      </c>
      <c r="C46" s="855"/>
      <c r="D46" s="498"/>
      <c r="E46" s="498"/>
      <c r="F46" s="498"/>
      <c r="G46" s="498"/>
      <c r="H46" s="508"/>
      <c r="I46" s="498"/>
      <c r="J46" s="498"/>
      <c r="K46" s="521"/>
      <c r="L46" s="498"/>
      <c r="M46" s="498"/>
      <c r="N46" s="498"/>
      <c r="O46" s="498"/>
      <c r="P46" s="498"/>
      <c r="Q46" s="498"/>
      <c r="R46" s="522"/>
      <c r="S46" s="498"/>
      <c r="T46" s="498"/>
      <c r="U46" s="864"/>
      <c r="V46" s="864"/>
      <c r="W46" s="373"/>
      <c r="X46" s="366"/>
      <c r="Y46" s="365"/>
      <c r="Z46" s="366"/>
      <c r="AA46" s="375"/>
      <c r="AB46" s="378"/>
      <c r="AC46" s="376"/>
      <c r="AD46" s="379"/>
      <c r="AE46" s="391"/>
      <c r="AF46" s="409"/>
      <c r="AG46" s="408"/>
      <c r="AH46" s="391"/>
      <c r="AI46" s="364"/>
      <c r="AJ46" s="391"/>
      <c r="AK46" s="364"/>
      <c r="AL46" s="391"/>
    </row>
    <row r="47" spans="1:38" s="372" customFormat="1" ht="19.5" customHeight="1">
      <c r="A47" s="855">
        <v>3</v>
      </c>
      <c r="B47" s="844" t="s">
        <v>88</v>
      </c>
      <c r="C47" s="855"/>
      <c r="D47" s="497"/>
      <c r="E47" s="867"/>
      <c r="F47" s="497"/>
      <c r="G47" s="884"/>
      <c r="H47" s="884"/>
      <c r="I47" s="884"/>
      <c r="J47" s="884"/>
      <c r="K47" s="884"/>
      <c r="L47" s="884"/>
      <c r="M47" s="884"/>
      <c r="N47" s="884"/>
      <c r="O47" s="884"/>
      <c r="P47" s="884"/>
      <c r="Q47" s="884"/>
      <c r="R47" s="884"/>
      <c r="S47" s="884"/>
      <c r="T47" s="884"/>
      <c r="U47" s="877"/>
      <c r="V47" s="877"/>
      <c r="W47" s="373"/>
      <c r="X47" s="366"/>
      <c r="Y47" s="365"/>
      <c r="Z47" s="366"/>
      <c r="AA47" s="375"/>
      <c r="AB47" s="378"/>
      <c r="AC47" s="395"/>
      <c r="AD47" s="379"/>
      <c r="AE47" s="379"/>
      <c r="AF47" s="378"/>
      <c r="AG47" s="378"/>
      <c r="AH47" s="379"/>
      <c r="AI47" s="393"/>
      <c r="AJ47" s="379"/>
      <c r="AK47" s="393"/>
      <c r="AL47" s="391"/>
    </row>
    <row r="48" spans="1:41" s="355" customFormat="1" ht="16.5" customHeight="1">
      <c r="A48" s="843"/>
      <c r="B48" s="844" t="s">
        <v>271</v>
      </c>
      <c r="C48" s="843" t="s">
        <v>509</v>
      </c>
      <c r="D48" s="849">
        <v>1674</v>
      </c>
      <c r="E48" s="849">
        <v>2105</v>
      </c>
      <c r="F48" s="849">
        <v>1202</v>
      </c>
      <c r="G48" s="503">
        <v>2105</v>
      </c>
      <c r="H48" s="876">
        <f>SUM(I48:T48)</f>
        <v>1867</v>
      </c>
      <c r="I48" s="514">
        <f>700+I49</f>
        <v>1146</v>
      </c>
      <c r="J48" s="514"/>
      <c r="K48" s="525">
        <v>420</v>
      </c>
      <c r="L48" s="514"/>
      <c r="M48" s="514"/>
      <c r="N48" s="514"/>
      <c r="O48" s="514"/>
      <c r="P48" s="514"/>
      <c r="Q48" s="514"/>
      <c r="R48" s="514">
        <v>301</v>
      </c>
      <c r="S48" s="514"/>
      <c r="T48" s="514"/>
      <c r="U48" s="846">
        <f>G48/D48*100</f>
        <v>125.74671445639187</v>
      </c>
      <c r="V48" s="872">
        <f>H48/G48%</f>
        <v>88.69358669833728</v>
      </c>
      <c r="W48" s="384"/>
      <c r="X48" s="386" t="s">
        <v>171</v>
      </c>
      <c r="Y48" s="387" t="s">
        <v>88</v>
      </c>
      <c r="Z48" s="358" t="s">
        <v>60</v>
      </c>
      <c r="AA48" s="359">
        <v>15305</v>
      </c>
      <c r="AB48" s="360">
        <v>15449</v>
      </c>
      <c r="AC48" s="361">
        <f>SUM(AD48:AL48)</f>
        <v>16200</v>
      </c>
      <c r="AD48" s="374">
        <v>3580</v>
      </c>
      <c r="AE48" s="374">
        <v>3620</v>
      </c>
      <c r="AF48" s="374">
        <v>1600</v>
      </c>
      <c r="AG48" s="374">
        <v>400</v>
      </c>
      <c r="AH48" s="374">
        <v>950</v>
      </c>
      <c r="AI48" s="356">
        <v>1050</v>
      </c>
      <c r="AJ48" s="374">
        <v>1700</v>
      </c>
      <c r="AK48" s="356">
        <v>2100</v>
      </c>
      <c r="AL48" s="374">
        <v>1200</v>
      </c>
      <c r="AO48" s="384"/>
    </row>
    <row r="49" spans="1:38" s="355" customFormat="1" ht="26.25" customHeight="1">
      <c r="A49" s="843"/>
      <c r="B49" s="870" t="s">
        <v>538</v>
      </c>
      <c r="C49" s="855" t="s">
        <v>509</v>
      </c>
      <c r="D49" s="502">
        <v>369</v>
      </c>
      <c r="E49" s="502">
        <v>420</v>
      </c>
      <c r="F49" s="502">
        <v>321</v>
      </c>
      <c r="G49" s="501">
        <v>420</v>
      </c>
      <c r="H49" s="874">
        <f>SUM(I49:T49)</f>
        <v>446</v>
      </c>
      <c r="I49" s="501">
        <v>446</v>
      </c>
      <c r="J49" s="499"/>
      <c r="K49" s="526"/>
      <c r="L49" s="499"/>
      <c r="M49" s="499"/>
      <c r="N49" s="499"/>
      <c r="O49" s="499"/>
      <c r="P49" s="499"/>
      <c r="Q49" s="499"/>
      <c r="R49" s="499"/>
      <c r="S49" s="499"/>
      <c r="T49" s="499"/>
      <c r="U49" s="851">
        <f>G49/D49*100</f>
        <v>113.8211382113821</v>
      </c>
      <c r="V49" s="852">
        <f>H49/G49%</f>
        <v>106.19047619047619</v>
      </c>
      <c r="W49" s="373"/>
      <c r="X49" s="356"/>
      <c r="Y49" s="410" t="s">
        <v>92</v>
      </c>
      <c r="Z49" s="358" t="s">
        <v>91</v>
      </c>
      <c r="AA49" s="359">
        <v>2200</v>
      </c>
      <c r="AB49" s="359">
        <f>94+75+98+99+106+104+69+101+70+25+93+66+61+106+64+32+104+63+33+89+36+63+95+66+31+103+64+59+501</f>
        <v>2570</v>
      </c>
      <c r="AC49" s="359">
        <v>2700</v>
      </c>
      <c r="AD49" s="359">
        <v>600</v>
      </c>
      <c r="AE49" s="359">
        <v>300</v>
      </c>
      <c r="AF49" s="359">
        <v>300</v>
      </c>
      <c r="AG49" s="359">
        <v>0</v>
      </c>
      <c r="AH49" s="359">
        <v>300</v>
      </c>
      <c r="AI49" s="359">
        <v>300</v>
      </c>
      <c r="AJ49" s="359">
        <v>300</v>
      </c>
      <c r="AK49" s="359">
        <v>300</v>
      </c>
      <c r="AL49" s="359">
        <v>300</v>
      </c>
    </row>
    <row r="50" spans="1:38" s="355" customFormat="1" ht="16.5" customHeight="1">
      <c r="A50" s="873"/>
      <c r="B50" s="868" t="s">
        <v>75</v>
      </c>
      <c r="C50" s="855" t="s">
        <v>509</v>
      </c>
      <c r="D50" s="502">
        <f>D49+125+165+181</f>
        <v>840</v>
      </c>
      <c r="E50" s="502">
        <v>1200</v>
      </c>
      <c r="F50" s="502">
        <v>669</v>
      </c>
      <c r="G50" s="501">
        <v>1200</v>
      </c>
      <c r="H50" s="874">
        <f>SUM(I50:T50)</f>
        <v>1068</v>
      </c>
      <c r="I50" s="499">
        <f>120+I49</f>
        <v>566</v>
      </c>
      <c r="J50" s="499"/>
      <c r="K50" s="526">
        <v>250</v>
      </c>
      <c r="L50" s="499"/>
      <c r="M50" s="499"/>
      <c r="N50" s="499"/>
      <c r="O50" s="499"/>
      <c r="P50" s="499"/>
      <c r="Q50" s="499"/>
      <c r="R50" s="499">
        <v>252</v>
      </c>
      <c r="S50" s="499"/>
      <c r="T50" s="499"/>
      <c r="U50" s="851">
        <f>G50/D50*100</f>
        <v>142.85714285714286</v>
      </c>
      <c r="V50" s="852">
        <f>H50/G50%</f>
        <v>89</v>
      </c>
      <c r="W50" s="373"/>
      <c r="X50" s="386"/>
      <c r="Y50" s="387"/>
      <c r="Z50" s="366"/>
      <c r="AA50" s="359"/>
      <c r="AB50" s="360"/>
      <c r="AC50" s="361"/>
      <c r="AD50" s="374"/>
      <c r="AE50" s="374"/>
      <c r="AF50" s="374"/>
      <c r="AG50" s="374"/>
      <c r="AH50" s="374"/>
      <c r="AI50" s="356"/>
      <c r="AJ50" s="374"/>
      <c r="AK50" s="356"/>
      <c r="AL50" s="374"/>
    </row>
    <row r="51" spans="1:38" s="389" customFormat="1" ht="18.75" customHeight="1">
      <c r="A51" s="855"/>
      <c r="B51" s="856" t="s">
        <v>244</v>
      </c>
      <c r="C51" s="855" t="s">
        <v>237</v>
      </c>
      <c r="D51" s="502">
        <v>47</v>
      </c>
      <c r="E51" s="502">
        <v>47</v>
      </c>
      <c r="F51" s="502">
        <v>38</v>
      </c>
      <c r="G51" s="501">
        <v>47</v>
      </c>
      <c r="H51" s="874">
        <f>SUM(I51:T51)</f>
        <v>51</v>
      </c>
      <c r="I51" s="501">
        <f>18+13</f>
        <v>31</v>
      </c>
      <c r="J51" s="501"/>
      <c r="K51" s="527">
        <v>11</v>
      </c>
      <c r="L51" s="528"/>
      <c r="M51" s="528"/>
      <c r="N51" s="528"/>
      <c r="O51" s="528"/>
      <c r="P51" s="528"/>
      <c r="Q51" s="528"/>
      <c r="R51" s="528">
        <v>9</v>
      </c>
      <c r="S51" s="528"/>
      <c r="T51" s="498"/>
      <c r="U51" s="857">
        <f>G51/D51*100</f>
        <v>100</v>
      </c>
      <c r="V51" s="852">
        <f>H51/G51%</f>
        <v>108.51063829787235</v>
      </c>
      <c r="W51" s="373"/>
      <c r="X51" s="366"/>
      <c r="Y51" s="365"/>
      <c r="Z51" s="366"/>
      <c r="AA51" s="370"/>
      <c r="AB51" s="370"/>
      <c r="AC51" s="369"/>
      <c r="AD51" s="370"/>
      <c r="AE51" s="370"/>
      <c r="AF51" s="370"/>
      <c r="AG51" s="370"/>
      <c r="AH51" s="370"/>
      <c r="AI51" s="370"/>
      <c r="AJ51" s="370"/>
      <c r="AK51" s="370"/>
      <c r="AL51" s="370"/>
    </row>
    <row r="52" spans="1:38" s="355" customFormat="1" ht="16.5" customHeight="1">
      <c r="A52" s="843"/>
      <c r="B52" s="868" t="s">
        <v>89</v>
      </c>
      <c r="C52" s="855" t="s">
        <v>13</v>
      </c>
      <c r="D52" s="502">
        <v>52</v>
      </c>
      <c r="E52" s="500">
        <v>66.3</v>
      </c>
      <c r="F52" s="502">
        <v>43</v>
      </c>
      <c r="G52" s="508">
        <v>66.3</v>
      </c>
      <c r="H52" s="508">
        <v>67.1</v>
      </c>
      <c r="I52" s="508">
        <f>(163+231)/(182+301)%</f>
        <v>81.5734989648033</v>
      </c>
      <c r="J52" s="508">
        <f>231/301%</f>
        <v>76.74418604651163</v>
      </c>
      <c r="K52" s="494">
        <f>163/182%</f>
        <v>89.56043956043956</v>
      </c>
      <c r="L52" s="499"/>
      <c r="M52" s="499"/>
      <c r="N52" s="499"/>
      <c r="O52" s="499"/>
      <c r="P52" s="499"/>
      <c r="Q52" s="499"/>
      <c r="R52" s="494">
        <v>92.6</v>
      </c>
      <c r="S52" s="499"/>
      <c r="T52" s="499"/>
      <c r="U52" s="864">
        <f aca="true" t="shared" si="13" ref="U52:V54">G52-D52</f>
        <v>14.299999999999997</v>
      </c>
      <c r="V52" s="864">
        <f t="shared" si="13"/>
        <v>0.7999999999999972</v>
      </c>
      <c r="W52" s="373"/>
      <c r="X52" s="386"/>
      <c r="Y52" s="365" t="s">
        <v>89</v>
      </c>
      <c r="Z52" s="366" t="s">
        <v>13</v>
      </c>
      <c r="AA52" s="411">
        <v>50.8</v>
      </c>
      <c r="AB52" s="412">
        <v>51.2</v>
      </c>
      <c r="AC52" s="376">
        <f>SUM(AD52:AL52)/9</f>
        <v>52.2</v>
      </c>
      <c r="AD52" s="391">
        <v>90.4</v>
      </c>
      <c r="AE52" s="391">
        <v>50.6</v>
      </c>
      <c r="AF52" s="391">
        <v>44.5</v>
      </c>
      <c r="AG52" s="391">
        <v>68.5</v>
      </c>
      <c r="AH52" s="391">
        <v>35</v>
      </c>
      <c r="AI52" s="391">
        <v>36.5</v>
      </c>
      <c r="AJ52" s="391">
        <v>61.5</v>
      </c>
      <c r="AK52" s="391">
        <v>44.8</v>
      </c>
      <c r="AL52" s="391">
        <v>38</v>
      </c>
    </row>
    <row r="53" spans="1:38" s="372" customFormat="1" ht="16.5" customHeight="1">
      <c r="A53" s="855"/>
      <c r="B53" s="856" t="s">
        <v>90</v>
      </c>
      <c r="C53" s="855" t="s">
        <v>13</v>
      </c>
      <c r="D53" s="502">
        <v>55</v>
      </c>
      <c r="E53" s="500">
        <v>69.7</v>
      </c>
      <c r="F53" s="502">
        <v>49</v>
      </c>
      <c r="G53" s="508">
        <v>69.7</v>
      </c>
      <c r="H53" s="508">
        <v>70.3</v>
      </c>
      <c r="I53" s="498">
        <f>(517+696)/(582+979)%</f>
        <v>77.70659833440102</v>
      </c>
      <c r="J53" s="498">
        <f>696/979%</f>
        <v>71.0929519918284</v>
      </c>
      <c r="K53" s="494">
        <f>517/582%</f>
        <v>88.8316151202749</v>
      </c>
      <c r="L53" s="498"/>
      <c r="M53" s="498"/>
      <c r="N53" s="498"/>
      <c r="O53" s="498"/>
      <c r="P53" s="498"/>
      <c r="Q53" s="498"/>
      <c r="R53" s="526">
        <v>93</v>
      </c>
      <c r="S53" s="499"/>
      <c r="T53" s="499"/>
      <c r="U53" s="864">
        <f t="shared" si="13"/>
        <v>14.700000000000003</v>
      </c>
      <c r="V53" s="864">
        <f t="shared" si="13"/>
        <v>0.5999999999999943</v>
      </c>
      <c r="W53" s="373"/>
      <c r="X53" s="366"/>
      <c r="Y53" s="365" t="s">
        <v>90</v>
      </c>
      <c r="Z53" s="366" t="s">
        <v>13</v>
      </c>
      <c r="AA53" s="375">
        <v>51.2</v>
      </c>
      <c r="AB53" s="378">
        <v>51.4</v>
      </c>
      <c r="AC53" s="376">
        <v>51.7</v>
      </c>
      <c r="AD53" s="391">
        <v>89.5</v>
      </c>
      <c r="AE53" s="391">
        <v>47.2</v>
      </c>
      <c r="AF53" s="391">
        <v>41.2</v>
      </c>
      <c r="AG53" s="391">
        <v>67.7</v>
      </c>
      <c r="AH53" s="391">
        <v>27.6</v>
      </c>
      <c r="AI53" s="391">
        <v>33.4</v>
      </c>
      <c r="AJ53" s="391">
        <v>56.8</v>
      </c>
      <c r="AK53" s="391">
        <v>37.4</v>
      </c>
      <c r="AL53" s="391">
        <v>35.2</v>
      </c>
    </row>
    <row r="54" spans="1:38" s="372" customFormat="1" ht="16.5" customHeight="1">
      <c r="A54" s="855"/>
      <c r="B54" s="856" t="s">
        <v>76</v>
      </c>
      <c r="C54" s="855" t="s">
        <v>13</v>
      </c>
      <c r="D54" s="500">
        <v>29.8</v>
      </c>
      <c r="E54" s="502">
        <v>45</v>
      </c>
      <c r="F54" s="502">
        <v>39</v>
      </c>
      <c r="G54" s="501">
        <v>45</v>
      </c>
      <c r="H54" s="508">
        <v>45.2</v>
      </c>
      <c r="I54" s="499">
        <f>(247+200)/I48%</f>
        <v>39.00523560209424</v>
      </c>
      <c r="J54" s="498"/>
      <c r="K54" s="526">
        <f>130/K48%</f>
        <v>30.952380952380953</v>
      </c>
      <c r="L54" s="498"/>
      <c r="M54" s="498"/>
      <c r="N54" s="498"/>
      <c r="O54" s="498"/>
      <c r="P54" s="498"/>
      <c r="Q54" s="498"/>
      <c r="R54" s="526">
        <f>45/R48%</f>
        <v>14.950166112956811</v>
      </c>
      <c r="S54" s="499"/>
      <c r="T54" s="499"/>
      <c r="U54" s="864">
        <f t="shared" si="13"/>
        <v>15.2</v>
      </c>
      <c r="V54" s="864">
        <f t="shared" si="13"/>
        <v>0.20000000000000284</v>
      </c>
      <c r="W54" s="373"/>
      <c r="X54" s="366"/>
      <c r="Y54" s="365" t="s">
        <v>76</v>
      </c>
      <c r="Z54" s="366" t="s">
        <v>13</v>
      </c>
      <c r="AA54" s="375">
        <v>40.2</v>
      </c>
      <c r="AB54" s="378">
        <v>41.6</v>
      </c>
      <c r="AC54" s="376">
        <f>6872/AC48*100</f>
        <v>42.41975308641975</v>
      </c>
      <c r="AD54" s="391">
        <v>49.7486033519553</v>
      </c>
      <c r="AE54" s="391">
        <v>43.149171270718234</v>
      </c>
      <c r="AF54" s="391">
        <v>26.4375</v>
      </c>
      <c r="AG54" s="391">
        <v>64.25</v>
      </c>
      <c r="AH54" s="391">
        <v>21.36842105263158</v>
      </c>
      <c r="AI54" s="391">
        <v>25.523809523809526</v>
      </c>
      <c r="AJ54" s="391">
        <v>38.64705882352941</v>
      </c>
      <c r="AK54" s="391">
        <v>45.33333333333333</v>
      </c>
      <c r="AL54" s="391">
        <v>23.25</v>
      </c>
    </row>
    <row r="55" spans="1:38" s="372" customFormat="1" ht="16.5" customHeight="1">
      <c r="A55" s="855"/>
      <c r="B55" s="856" t="s">
        <v>77</v>
      </c>
      <c r="C55" s="855" t="s">
        <v>13</v>
      </c>
      <c r="D55" s="500"/>
      <c r="E55" s="867">
        <v>2</v>
      </c>
      <c r="F55" s="500">
        <v>2.5</v>
      </c>
      <c r="G55" s="529">
        <v>2</v>
      </c>
      <c r="H55" s="530">
        <v>1.8</v>
      </c>
      <c r="I55" s="531">
        <f>34/I48%</f>
        <v>2.9668411867364743</v>
      </c>
      <c r="J55" s="499"/>
      <c r="K55" s="526">
        <f>17/K48%</f>
        <v>4.0476190476190474</v>
      </c>
      <c r="L55" s="499"/>
      <c r="M55" s="499"/>
      <c r="N55" s="499"/>
      <c r="O55" s="499"/>
      <c r="P55" s="499"/>
      <c r="Q55" s="499"/>
      <c r="R55" s="494">
        <v>2.6</v>
      </c>
      <c r="S55" s="499"/>
      <c r="T55" s="499"/>
      <c r="U55" s="864"/>
      <c r="V55" s="864">
        <f>H55-E55</f>
        <v>-0.19999999999999996</v>
      </c>
      <c r="W55" s="373"/>
      <c r="X55" s="366"/>
      <c r="Y55" s="365" t="s">
        <v>77</v>
      </c>
      <c r="Z55" s="366" t="s">
        <v>13</v>
      </c>
      <c r="AA55" s="375">
        <v>4.8</v>
      </c>
      <c r="AB55" s="378">
        <v>4.3</v>
      </c>
      <c r="AC55" s="376">
        <f>SUM(AD55:AL55)/9</f>
        <v>3.855555555555556</v>
      </c>
      <c r="AD55" s="391">
        <v>1.8</v>
      </c>
      <c r="AE55" s="391">
        <v>3.2</v>
      </c>
      <c r="AF55" s="391">
        <v>5.3</v>
      </c>
      <c r="AG55" s="391">
        <v>4.2</v>
      </c>
      <c r="AH55" s="391">
        <v>2.7</v>
      </c>
      <c r="AI55" s="364">
        <v>5.7</v>
      </c>
      <c r="AJ55" s="391">
        <v>4.1</v>
      </c>
      <c r="AK55" s="364">
        <v>3.7</v>
      </c>
      <c r="AL55" s="391">
        <v>4</v>
      </c>
    </row>
    <row r="56" spans="1:38" s="372" customFormat="1" ht="16.5" customHeight="1">
      <c r="A56" s="855"/>
      <c r="B56" s="856" t="s">
        <v>78</v>
      </c>
      <c r="C56" s="855"/>
      <c r="D56" s="500"/>
      <c r="E56" s="497">
        <v>1.5</v>
      </c>
      <c r="F56" s="500"/>
      <c r="G56" s="530">
        <v>1.5</v>
      </c>
      <c r="H56" s="530">
        <v>1.1</v>
      </c>
      <c r="I56" s="498">
        <f>5/I48%</f>
        <v>0.43630017452006975</v>
      </c>
      <c r="J56" s="499"/>
      <c r="K56" s="494">
        <f>8/K48%</f>
        <v>1.9047619047619047</v>
      </c>
      <c r="L56" s="499"/>
      <c r="M56" s="499"/>
      <c r="N56" s="499"/>
      <c r="O56" s="499"/>
      <c r="P56" s="499"/>
      <c r="Q56" s="499"/>
      <c r="R56" s="494">
        <v>0.8</v>
      </c>
      <c r="S56" s="499"/>
      <c r="T56" s="499"/>
      <c r="U56" s="864"/>
      <c r="V56" s="864">
        <f>H56-E56</f>
        <v>-0.3999999999999999</v>
      </c>
      <c r="W56" s="373"/>
      <c r="X56" s="366"/>
      <c r="Y56" s="365"/>
      <c r="Z56" s="366"/>
      <c r="AA56" s="375"/>
      <c r="AB56" s="378"/>
      <c r="AC56" s="376"/>
      <c r="AD56" s="391"/>
      <c r="AE56" s="391"/>
      <c r="AF56" s="391"/>
      <c r="AG56" s="391"/>
      <c r="AH56" s="391"/>
      <c r="AI56" s="364"/>
      <c r="AJ56" s="391"/>
      <c r="AK56" s="364"/>
      <c r="AL56" s="391"/>
    </row>
    <row r="57" spans="1:38" s="355" customFormat="1" ht="13.5" customHeight="1">
      <c r="A57" s="843" t="s">
        <v>173</v>
      </c>
      <c r="B57" s="844" t="s">
        <v>586</v>
      </c>
      <c r="C57" s="843" t="s">
        <v>423</v>
      </c>
      <c r="D57" s="849">
        <v>1</v>
      </c>
      <c r="E57" s="849">
        <v>1</v>
      </c>
      <c r="F57" s="849">
        <v>1</v>
      </c>
      <c r="G57" s="849">
        <v>1</v>
      </c>
      <c r="H57" s="849">
        <v>1</v>
      </c>
      <c r="I57" s="849">
        <v>1</v>
      </c>
      <c r="J57" s="849"/>
      <c r="K57" s="850"/>
      <c r="L57" s="849"/>
      <c r="M57" s="849"/>
      <c r="N57" s="849"/>
      <c r="O57" s="849"/>
      <c r="P57" s="849"/>
      <c r="Q57" s="849"/>
      <c r="R57" s="849"/>
      <c r="S57" s="849"/>
      <c r="T57" s="849"/>
      <c r="U57" s="887">
        <f>G57/F57%</f>
        <v>100</v>
      </c>
      <c r="V57" s="862">
        <f>H57/G57%</f>
        <v>100</v>
      </c>
      <c r="W57" s="384"/>
      <c r="X57" s="413">
        <v>3</v>
      </c>
      <c r="Y57" s="414" t="s">
        <v>114</v>
      </c>
      <c r="Z57" s="358" t="s">
        <v>91</v>
      </c>
      <c r="AA57" s="415">
        <v>8</v>
      </c>
      <c r="AB57" s="415">
        <v>8</v>
      </c>
      <c r="AC57" s="361">
        <f>SUM(AD57:AL57)</f>
        <v>8</v>
      </c>
      <c r="AD57" s="415">
        <v>1</v>
      </c>
      <c r="AE57" s="415">
        <v>1</v>
      </c>
      <c r="AF57" s="415">
        <v>1</v>
      </c>
      <c r="AG57" s="415">
        <v>0</v>
      </c>
      <c r="AH57" s="415">
        <v>1</v>
      </c>
      <c r="AI57" s="415">
        <v>1</v>
      </c>
      <c r="AJ57" s="415">
        <v>1</v>
      </c>
      <c r="AK57" s="415">
        <v>1</v>
      </c>
      <c r="AL57" s="415">
        <v>1</v>
      </c>
    </row>
    <row r="58" spans="1:38" s="355" customFormat="1" ht="17.25" customHeight="1">
      <c r="A58" s="843"/>
      <c r="B58" s="844" t="s">
        <v>587</v>
      </c>
      <c r="C58" s="843" t="s">
        <v>509</v>
      </c>
      <c r="D58" s="514">
        <v>62</v>
      </c>
      <c r="E58" s="514">
        <v>90</v>
      </c>
      <c r="F58" s="514">
        <f>F60</f>
        <v>62</v>
      </c>
      <c r="G58" s="514">
        <v>90</v>
      </c>
      <c r="H58" s="514">
        <v>93</v>
      </c>
      <c r="I58" s="514">
        <v>93</v>
      </c>
      <c r="J58" s="514"/>
      <c r="K58" s="514"/>
      <c r="L58" s="514"/>
      <c r="M58" s="514"/>
      <c r="N58" s="514"/>
      <c r="O58" s="514"/>
      <c r="P58" s="514"/>
      <c r="Q58" s="514"/>
      <c r="R58" s="514"/>
      <c r="S58" s="514"/>
      <c r="T58" s="514"/>
      <c r="U58" s="872">
        <f>G58/F58%</f>
        <v>145.16129032258064</v>
      </c>
      <c r="V58" s="872">
        <f>H58/G58%</f>
        <v>103.33333333333333</v>
      </c>
      <c r="W58" s="384"/>
      <c r="X58" s="356">
        <v>3</v>
      </c>
      <c r="Y58" s="410" t="s">
        <v>93</v>
      </c>
      <c r="Z58" s="358" t="s">
        <v>60</v>
      </c>
      <c r="AA58" s="359">
        <v>6058</v>
      </c>
      <c r="AB58" s="360" t="e">
        <f>SUM(#REF!)</f>
        <v>#REF!</v>
      </c>
      <c r="AC58" s="361" t="e">
        <f>SUM(AD58:AL58)</f>
        <v>#REF!</v>
      </c>
      <c r="AD58" s="374" t="e">
        <f>#REF!+#REF!+#REF!</f>
        <v>#REF!</v>
      </c>
      <c r="AE58" s="374" t="e">
        <f>#REF!+#REF!+#REF!</f>
        <v>#REF!</v>
      </c>
      <c r="AF58" s="374" t="e">
        <f>#REF!+#REF!+#REF!</f>
        <v>#REF!</v>
      </c>
      <c r="AG58" s="374" t="e">
        <f>#REF!+#REF!+#REF!</f>
        <v>#REF!</v>
      </c>
      <c r="AH58" s="374" t="e">
        <f>#REF!+#REF!+#REF!</f>
        <v>#REF!</v>
      </c>
      <c r="AI58" s="374" t="e">
        <f>#REF!+#REF!+#REF!</f>
        <v>#REF!</v>
      </c>
      <c r="AJ58" s="374" t="e">
        <f>#REF!+#REF!+#REF!</f>
        <v>#REF!</v>
      </c>
      <c r="AK58" s="374" t="e">
        <f>#REF!+#REF!+#REF!</f>
        <v>#REF!</v>
      </c>
      <c r="AL58" s="374" t="e">
        <f>#REF!+#REF!+#REF!</f>
        <v>#REF!</v>
      </c>
    </row>
    <row r="59" spans="1:38" s="372" customFormat="1" ht="17.25" customHeight="1">
      <c r="A59" s="888" t="s">
        <v>337</v>
      </c>
      <c r="B59" s="870" t="s">
        <v>588</v>
      </c>
      <c r="C59" s="855" t="s">
        <v>237</v>
      </c>
      <c r="D59" s="499">
        <v>3</v>
      </c>
      <c r="E59" s="499">
        <v>4</v>
      </c>
      <c r="F59" s="499"/>
      <c r="G59" s="499">
        <v>4</v>
      </c>
      <c r="H59" s="499">
        <v>4</v>
      </c>
      <c r="I59" s="499">
        <v>4</v>
      </c>
      <c r="J59" s="499"/>
      <c r="K59" s="499"/>
      <c r="L59" s="499"/>
      <c r="M59" s="499"/>
      <c r="N59" s="499"/>
      <c r="O59" s="499"/>
      <c r="P59" s="499"/>
      <c r="Q59" s="499"/>
      <c r="R59" s="499"/>
      <c r="S59" s="499"/>
      <c r="T59" s="499"/>
      <c r="U59" s="852">
        <f>G59/D59*100</f>
        <v>133.33333333333331</v>
      </c>
      <c r="V59" s="862">
        <f>H59/G59%</f>
        <v>100</v>
      </c>
      <c r="W59" s="373"/>
      <c r="X59" s="364"/>
      <c r="Y59" s="416"/>
      <c r="Z59" s="366"/>
      <c r="AA59" s="367"/>
      <c r="AB59" s="368"/>
      <c r="AC59" s="369"/>
      <c r="AD59" s="370"/>
      <c r="AE59" s="370"/>
      <c r="AF59" s="370"/>
      <c r="AG59" s="370"/>
      <c r="AH59" s="370"/>
      <c r="AI59" s="370"/>
      <c r="AJ59" s="370"/>
      <c r="AK59" s="370"/>
      <c r="AL59" s="370"/>
    </row>
    <row r="60" spans="1:38" s="372" customFormat="1" ht="17.25" customHeight="1">
      <c r="A60" s="888" t="s">
        <v>337</v>
      </c>
      <c r="B60" s="870" t="s">
        <v>589</v>
      </c>
      <c r="C60" s="855" t="s">
        <v>509</v>
      </c>
      <c r="D60" s="502">
        <v>62</v>
      </c>
      <c r="E60" s="502">
        <v>90</v>
      </c>
      <c r="F60" s="502">
        <v>62</v>
      </c>
      <c r="G60" s="502">
        <v>90</v>
      </c>
      <c r="H60" s="502">
        <v>93</v>
      </c>
      <c r="I60" s="499">
        <v>93</v>
      </c>
      <c r="J60" s="499"/>
      <c r="K60" s="499"/>
      <c r="L60" s="499"/>
      <c r="M60" s="499"/>
      <c r="N60" s="499"/>
      <c r="O60" s="499"/>
      <c r="P60" s="499"/>
      <c r="Q60" s="499"/>
      <c r="R60" s="499"/>
      <c r="S60" s="499"/>
      <c r="T60" s="499"/>
      <c r="U60" s="852">
        <f>G60/F60%</f>
        <v>145.16129032258064</v>
      </c>
      <c r="V60" s="852">
        <f>H60/G60%</f>
        <v>103.33333333333333</v>
      </c>
      <c r="W60" s="373"/>
      <c r="X60" s="364"/>
      <c r="Y60" s="416"/>
      <c r="Z60" s="366"/>
      <c r="AA60" s="367"/>
      <c r="AB60" s="368"/>
      <c r="AC60" s="369"/>
      <c r="AD60" s="370"/>
      <c r="AE60" s="370"/>
      <c r="AF60" s="370"/>
      <c r="AG60" s="370"/>
      <c r="AH60" s="370"/>
      <c r="AI60" s="370"/>
      <c r="AJ60" s="370"/>
      <c r="AK60" s="370"/>
      <c r="AL60" s="370"/>
    </row>
    <row r="61" spans="1:38" s="74" customFormat="1" ht="16.5" customHeight="1">
      <c r="A61" s="843" t="s">
        <v>174</v>
      </c>
      <c r="B61" s="844" t="s">
        <v>590</v>
      </c>
      <c r="C61" s="843"/>
      <c r="D61" s="848"/>
      <c r="E61" s="848"/>
      <c r="F61" s="848"/>
      <c r="G61" s="848"/>
      <c r="H61" s="867"/>
      <c r="I61" s="867"/>
      <c r="J61" s="867"/>
      <c r="K61" s="889"/>
      <c r="L61" s="867"/>
      <c r="M61" s="867"/>
      <c r="N61" s="867"/>
      <c r="O61" s="867"/>
      <c r="P61" s="867"/>
      <c r="Q61" s="867"/>
      <c r="R61" s="867"/>
      <c r="S61" s="867"/>
      <c r="T61" s="867"/>
      <c r="U61" s="851"/>
      <c r="V61" s="852"/>
      <c r="W61" s="80"/>
      <c r="X61" s="302" t="s">
        <v>173</v>
      </c>
      <c r="Y61" s="301" t="s">
        <v>94</v>
      </c>
      <c r="Z61" s="220"/>
      <c r="AA61" s="303"/>
      <c r="AB61" s="304"/>
      <c r="AC61" s="286"/>
      <c r="AD61" s="305"/>
      <c r="AE61" s="305"/>
      <c r="AF61" s="305"/>
      <c r="AG61" s="305"/>
      <c r="AH61" s="304">
        <v>0</v>
      </c>
      <c r="AI61" s="302"/>
      <c r="AJ61" s="305"/>
      <c r="AK61" s="302"/>
      <c r="AL61" s="305"/>
    </row>
    <row r="62" spans="1:38" s="355" customFormat="1" ht="16.5" customHeight="1">
      <c r="A62" s="843"/>
      <c r="B62" s="844" t="s">
        <v>591</v>
      </c>
      <c r="C62" s="843" t="s">
        <v>577</v>
      </c>
      <c r="D62" s="890">
        <v>12</v>
      </c>
      <c r="E62" s="890">
        <v>12</v>
      </c>
      <c r="F62" s="890"/>
      <c r="G62" s="890">
        <v>12</v>
      </c>
      <c r="H62" s="849">
        <f aca="true" t="shared" si="14" ref="H62:H71">SUM(I62:T62)</f>
        <v>12</v>
      </c>
      <c r="I62" s="503">
        <v>1</v>
      </c>
      <c r="J62" s="503">
        <v>1</v>
      </c>
      <c r="K62" s="503">
        <v>1</v>
      </c>
      <c r="L62" s="503">
        <v>1</v>
      </c>
      <c r="M62" s="503">
        <v>1</v>
      </c>
      <c r="N62" s="503">
        <v>1</v>
      </c>
      <c r="O62" s="503">
        <v>1</v>
      </c>
      <c r="P62" s="503">
        <v>1</v>
      </c>
      <c r="Q62" s="503">
        <v>1</v>
      </c>
      <c r="R62" s="503">
        <v>1</v>
      </c>
      <c r="S62" s="503">
        <v>1</v>
      </c>
      <c r="T62" s="503">
        <v>1</v>
      </c>
      <c r="U62" s="887">
        <f>100</f>
        <v>100</v>
      </c>
      <c r="V62" s="887">
        <f aca="true" t="shared" si="15" ref="V62:V70">H62/G62%</f>
        <v>100</v>
      </c>
      <c r="W62" s="384"/>
      <c r="X62" s="417"/>
      <c r="Y62" s="418"/>
      <c r="Z62" s="419"/>
      <c r="AA62" s="420"/>
      <c r="AB62" s="421"/>
      <c r="AC62" s="422"/>
      <c r="AD62" s="423"/>
      <c r="AE62" s="423"/>
      <c r="AF62" s="423"/>
      <c r="AG62" s="423"/>
      <c r="AH62" s="421"/>
      <c r="AI62" s="417"/>
      <c r="AJ62" s="423"/>
      <c r="AK62" s="417"/>
      <c r="AL62" s="423"/>
    </row>
    <row r="63" spans="1:22" s="372" customFormat="1" ht="26.25" customHeight="1">
      <c r="A63" s="855">
        <v>1</v>
      </c>
      <c r="B63" s="891" t="s">
        <v>539</v>
      </c>
      <c r="C63" s="855" t="s">
        <v>577</v>
      </c>
      <c r="D63" s="502">
        <v>12</v>
      </c>
      <c r="E63" s="502">
        <v>12</v>
      </c>
      <c r="F63" s="502">
        <v>12</v>
      </c>
      <c r="G63" s="501">
        <v>12</v>
      </c>
      <c r="H63" s="501">
        <f t="shared" si="14"/>
        <v>12</v>
      </c>
      <c r="I63" s="501">
        <v>1</v>
      </c>
      <c r="J63" s="501">
        <v>1</v>
      </c>
      <c r="K63" s="501">
        <v>1</v>
      </c>
      <c r="L63" s="501">
        <v>1</v>
      </c>
      <c r="M63" s="501">
        <v>1</v>
      </c>
      <c r="N63" s="501">
        <v>1</v>
      </c>
      <c r="O63" s="501">
        <v>1</v>
      </c>
      <c r="P63" s="501">
        <v>1</v>
      </c>
      <c r="Q63" s="501">
        <v>1</v>
      </c>
      <c r="R63" s="501">
        <v>1</v>
      </c>
      <c r="S63" s="501">
        <v>1</v>
      </c>
      <c r="T63" s="501">
        <v>1</v>
      </c>
      <c r="U63" s="502">
        <v>100</v>
      </c>
      <c r="V63" s="862">
        <f t="shared" si="15"/>
        <v>100</v>
      </c>
    </row>
    <row r="64" spans="1:22" s="372" customFormat="1" ht="23.25" customHeight="1">
      <c r="A64" s="855">
        <v>2</v>
      </c>
      <c r="B64" s="891" t="s">
        <v>658</v>
      </c>
      <c r="C64" s="855" t="s">
        <v>577</v>
      </c>
      <c r="D64" s="502">
        <v>12</v>
      </c>
      <c r="E64" s="502">
        <v>12</v>
      </c>
      <c r="F64" s="502">
        <v>12</v>
      </c>
      <c r="G64" s="501">
        <v>12</v>
      </c>
      <c r="H64" s="501">
        <f t="shared" si="14"/>
        <v>12</v>
      </c>
      <c r="I64" s="501">
        <v>1</v>
      </c>
      <c r="J64" s="501">
        <v>1</v>
      </c>
      <c r="K64" s="501">
        <v>1</v>
      </c>
      <c r="L64" s="501">
        <v>1</v>
      </c>
      <c r="M64" s="501">
        <v>1</v>
      </c>
      <c r="N64" s="501">
        <v>1</v>
      </c>
      <c r="O64" s="501">
        <v>1</v>
      </c>
      <c r="P64" s="501">
        <v>1</v>
      </c>
      <c r="Q64" s="501">
        <v>1</v>
      </c>
      <c r="R64" s="501">
        <v>1</v>
      </c>
      <c r="S64" s="501">
        <v>1</v>
      </c>
      <c r="T64" s="501">
        <v>1</v>
      </c>
      <c r="U64" s="502">
        <v>100</v>
      </c>
      <c r="V64" s="862">
        <f>H64/G64%</f>
        <v>100</v>
      </c>
    </row>
    <row r="65" spans="1:22" s="372" customFormat="1" ht="22.5" customHeight="1">
      <c r="A65" s="855">
        <v>3</v>
      </c>
      <c r="B65" s="891" t="s">
        <v>540</v>
      </c>
      <c r="C65" s="855" t="s">
        <v>577</v>
      </c>
      <c r="D65" s="502">
        <v>12</v>
      </c>
      <c r="E65" s="502">
        <v>12</v>
      </c>
      <c r="F65" s="502">
        <v>12</v>
      </c>
      <c r="G65" s="501">
        <v>12</v>
      </c>
      <c r="H65" s="501">
        <f t="shared" si="14"/>
        <v>12</v>
      </c>
      <c r="I65" s="501">
        <v>1</v>
      </c>
      <c r="J65" s="501">
        <v>1</v>
      </c>
      <c r="K65" s="501">
        <v>1</v>
      </c>
      <c r="L65" s="501">
        <v>1</v>
      </c>
      <c r="M65" s="501">
        <v>1</v>
      </c>
      <c r="N65" s="501">
        <v>1</v>
      </c>
      <c r="O65" s="501">
        <v>1</v>
      </c>
      <c r="P65" s="501">
        <v>1</v>
      </c>
      <c r="Q65" s="501">
        <v>1</v>
      </c>
      <c r="R65" s="501">
        <v>1</v>
      </c>
      <c r="S65" s="501">
        <v>1</v>
      </c>
      <c r="T65" s="501">
        <v>1</v>
      </c>
      <c r="U65" s="502">
        <v>100</v>
      </c>
      <c r="V65" s="862">
        <f t="shared" si="15"/>
        <v>100</v>
      </c>
    </row>
    <row r="66" spans="1:22" s="372" customFormat="1" ht="22.5" customHeight="1">
      <c r="A66" s="892" t="s">
        <v>231</v>
      </c>
      <c r="B66" s="891" t="s">
        <v>578</v>
      </c>
      <c r="C66" s="855" t="s">
        <v>577</v>
      </c>
      <c r="D66" s="502">
        <v>10</v>
      </c>
      <c r="E66" s="502">
        <v>10</v>
      </c>
      <c r="F66" s="502">
        <v>5</v>
      </c>
      <c r="G66" s="501">
        <v>10</v>
      </c>
      <c r="H66" s="501">
        <f t="shared" si="14"/>
        <v>12</v>
      </c>
      <c r="I66" s="513">
        <v>1</v>
      </c>
      <c r="J66" s="513">
        <v>1</v>
      </c>
      <c r="K66" s="513">
        <v>1</v>
      </c>
      <c r="L66" s="513">
        <v>1</v>
      </c>
      <c r="M66" s="513">
        <v>1</v>
      </c>
      <c r="N66" s="513">
        <v>1</v>
      </c>
      <c r="O66" s="513">
        <v>1</v>
      </c>
      <c r="P66" s="513">
        <v>1</v>
      </c>
      <c r="Q66" s="513">
        <v>1</v>
      </c>
      <c r="R66" s="513">
        <v>1</v>
      </c>
      <c r="S66" s="513">
        <v>1</v>
      </c>
      <c r="T66" s="513">
        <v>1</v>
      </c>
      <c r="U66" s="502">
        <v>100</v>
      </c>
      <c r="V66" s="862">
        <f t="shared" si="15"/>
        <v>120</v>
      </c>
    </row>
    <row r="67" spans="1:22" s="372" customFormat="1" ht="22.5" customHeight="1">
      <c r="A67" s="892" t="s">
        <v>548</v>
      </c>
      <c r="B67" s="891" t="s">
        <v>659</v>
      </c>
      <c r="C67" s="855" t="s">
        <v>577</v>
      </c>
      <c r="D67" s="502">
        <v>12</v>
      </c>
      <c r="E67" s="502">
        <v>12</v>
      </c>
      <c r="F67" s="502">
        <v>10</v>
      </c>
      <c r="G67" s="501">
        <v>12</v>
      </c>
      <c r="H67" s="501">
        <f t="shared" si="14"/>
        <v>12</v>
      </c>
      <c r="I67" s="501">
        <v>1</v>
      </c>
      <c r="J67" s="501">
        <v>1</v>
      </c>
      <c r="K67" s="501">
        <v>1</v>
      </c>
      <c r="L67" s="501">
        <v>1</v>
      </c>
      <c r="M67" s="501">
        <v>1</v>
      </c>
      <c r="N67" s="501">
        <v>1</v>
      </c>
      <c r="O67" s="501">
        <v>1</v>
      </c>
      <c r="P67" s="501">
        <v>1</v>
      </c>
      <c r="Q67" s="501">
        <v>1</v>
      </c>
      <c r="R67" s="501">
        <v>1</v>
      </c>
      <c r="S67" s="501">
        <v>1</v>
      </c>
      <c r="T67" s="501">
        <v>1</v>
      </c>
      <c r="U67" s="502">
        <v>100</v>
      </c>
      <c r="V67" s="862">
        <f>H67/G67%</f>
        <v>100</v>
      </c>
    </row>
    <row r="68" spans="1:22" s="372" customFormat="1" ht="22.5" customHeight="1">
      <c r="A68" s="892" t="s">
        <v>240</v>
      </c>
      <c r="B68" s="891" t="s">
        <v>541</v>
      </c>
      <c r="C68" s="855" t="s">
        <v>577</v>
      </c>
      <c r="D68" s="502">
        <v>12</v>
      </c>
      <c r="E68" s="502">
        <v>12</v>
      </c>
      <c r="F68" s="502">
        <v>10</v>
      </c>
      <c r="G68" s="501">
        <v>12</v>
      </c>
      <c r="H68" s="501">
        <f t="shared" si="14"/>
        <v>12</v>
      </c>
      <c r="I68" s="501">
        <v>1</v>
      </c>
      <c r="J68" s="501">
        <v>1</v>
      </c>
      <c r="K68" s="501">
        <v>1</v>
      </c>
      <c r="L68" s="501">
        <v>1</v>
      </c>
      <c r="M68" s="501">
        <v>1</v>
      </c>
      <c r="N68" s="501">
        <v>1</v>
      </c>
      <c r="O68" s="501">
        <v>1</v>
      </c>
      <c r="P68" s="501">
        <v>1</v>
      </c>
      <c r="Q68" s="501">
        <v>1</v>
      </c>
      <c r="R68" s="501">
        <v>1</v>
      </c>
      <c r="S68" s="501">
        <v>1</v>
      </c>
      <c r="T68" s="501">
        <v>1</v>
      </c>
      <c r="U68" s="502">
        <v>100</v>
      </c>
      <c r="V68" s="862">
        <f t="shared" si="15"/>
        <v>100</v>
      </c>
    </row>
    <row r="69" spans="1:22" s="372" customFormat="1" ht="22.5" customHeight="1">
      <c r="A69" s="855">
        <v>7</v>
      </c>
      <c r="B69" s="891" t="s">
        <v>542</v>
      </c>
      <c r="C69" s="855" t="s">
        <v>577</v>
      </c>
      <c r="D69" s="502">
        <v>6</v>
      </c>
      <c r="E69" s="502">
        <v>7</v>
      </c>
      <c r="F69" s="502">
        <v>2</v>
      </c>
      <c r="G69" s="501">
        <v>7</v>
      </c>
      <c r="H69" s="501">
        <f t="shared" si="14"/>
        <v>12</v>
      </c>
      <c r="I69" s="501">
        <v>1</v>
      </c>
      <c r="J69" s="501">
        <v>1</v>
      </c>
      <c r="K69" s="501">
        <v>1</v>
      </c>
      <c r="L69" s="501">
        <v>1</v>
      </c>
      <c r="M69" s="501">
        <v>1</v>
      </c>
      <c r="N69" s="501">
        <v>1</v>
      </c>
      <c r="O69" s="501">
        <v>1</v>
      </c>
      <c r="P69" s="501">
        <v>1</v>
      </c>
      <c r="Q69" s="501">
        <v>1</v>
      </c>
      <c r="R69" s="501">
        <v>1</v>
      </c>
      <c r="S69" s="501">
        <v>1</v>
      </c>
      <c r="T69" s="501">
        <v>1</v>
      </c>
      <c r="U69" s="893">
        <f>G69/D69*100</f>
        <v>116.66666666666667</v>
      </c>
      <c r="V69" s="852">
        <f t="shared" si="15"/>
        <v>171.42857142857142</v>
      </c>
    </row>
    <row r="70" spans="1:22" s="372" customFormat="1" ht="22.5" customHeight="1">
      <c r="A70" s="892" t="s">
        <v>660</v>
      </c>
      <c r="B70" s="891" t="s">
        <v>661</v>
      </c>
      <c r="C70" s="855" t="s">
        <v>577</v>
      </c>
      <c r="D70" s="502">
        <v>12</v>
      </c>
      <c r="E70" s="502">
        <v>12</v>
      </c>
      <c r="F70" s="502">
        <v>12</v>
      </c>
      <c r="G70" s="501">
        <v>12</v>
      </c>
      <c r="H70" s="501">
        <f t="shared" si="14"/>
        <v>12</v>
      </c>
      <c r="I70" s="501">
        <v>1</v>
      </c>
      <c r="J70" s="501">
        <v>1</v>
      </c>
      <c r="K70" s="501">
        <v>1</v>
      </c>
      <c r="L70" s="501">
        <v>1</v>
      </c>
      <c r="M70" s="501">
        <v>1</v>
      </c>
      <c r="N70" s="501">
        <v>1</v>
      </c>
      <c r="O70" s="501">
        <v>1</v>
      </c>
      <c r="P70" s="501">
        <v>1</v>
      </c>
      <c r="Q70" s="501">
        <v>1</v>
      </c>
      <c r="R70" s="501">
        <v>1</v>
      </c>
      <c r="S70" s="501">
        <v>1</v>
      </c>
      <c r="T70" s="501">
        <v>1</v>
      </c>
      <c r="U70" s="502">
        <v>100</v>
      </c>
      <c r="V70" s="862">
        <f t="shared" si="15"/>
        <v>100</v>
      </c>
    </row>
    <row r="71" spans="1:22" s="372" customFormat="1" ht="22.5" customHeight="1">
      <c r="A71" s="892" t="s">
        <v>662</v>
      </c>
      <c r="B71" s="891" t="s">
        <v>297</v>
      </c>
      <c r="C71" s="855" t="s">
        <v>577</v>
      </c>
      <c r="D71" s="502">
        <v>12</v>
      </c>
      <c r="E71" s="502">
        <v>12</v>
      </c>
      <c r="F71" s="502">
        <v>12</v>
      </c>
      <c r="G71" s="501">
        <v>12</v>
      </c>
      <c r="H71" s="501">
        <f t="shared" si="14"/>
        <v>12</v>
      </c>
      <c r="I71" s="501">
        <v>1</v>
      </c>
      <c r="J71" s="501">
        <v>1</v>
      </c>
      <c r="K71" s="501">
        <v>1</v>
      </c>
      <c r="L71" s="501">
        <v>1</v>
      </c>
      <c r="M71" s="501">
        <v>1</v>
      </c>
      <c r="N71" s="501">
        <v>1</v>
      </c>
      <c r="O71" s="501">
        <v>1</v>
      </c>
      <c r="P71" s="501">
        <v>1</v>
      </c>
      <c r="Q71" s="501">
        <v>1</v>
      </c>
      <c r="R71" s="501">
        <v>1</v>
      </c>
      <c r="S71" s="501">
        <v>1</v>
      </c>
      <c r="T71" s="501">
        <v>1</v>
      </c>
      <c r="U71" s="502">
        <v>100</v>
      </c>
      <c r="V71" s="862">
        <f>H71/G71%</f>
        <v>100</v>
      </c>
    </row>
    <row r="72" spans="1:38" s="74" customFormat="1" ht="16.5" customHeight="1">
      <c r="A72" s="843" t="s">
        <v>592</v>
      </c>
      <c r="B72" s="844" t="s">
        <v>593</v>
      </c>
      <c r="C72" s="843" t="s">
        <v>97</v>
      </c>
      <c r="D72" s="514">
        <f>D76+D79+D95</f>
        <v>42</v>
      </c>
      <c r="E72" s="514">
        <f>E76+E79+E95</f>
        <v>42</v>
      </c>
      <c r="F72" s="514">
        <f aca="true" t="shared" si="16" ref="F72:T72">F76+F79+F95</f>
        <v>46</v>
      </c>
      <c r="G72" s="514">
        <f t="shared" si="16"/>
        <v>42</v>
      </c>
      <c r="H72" s="514">
        <f t="shared" si="16"/>
        <v>42</v>
      </c>
      <c r="I72" s="514">
        <f t="shared" si="16"/>
        <v>8</v>
      </c>
      <c r="J72" s="514">
        <f t="shared" si="16"/>
        <v>3</v>
      </c>
      <c r="K72" s="514">
        <f t="shared" si="16"/>
        <v>3</v>
      </c>
      <c r="L72" s="514">
        <f t="shared" si="16"/>
        <v>3</v>
      </c>
      <c r="M72" s="514">
        <f t="shared" si="16"/>
        <v>5</v>
      </c>
      <c r="N72" s="514">
        <f t="shared" si="16"/>
        <v>4</v>
      </c>
      <c r="O72" s="514">
        <f t="shared" si="16"/>
        <v>3</v>
      </c>
      <c r="P72" s="514">
        <f t="shared" si="16"/>
        <v>3</v>
      </c>
      <c r="Q72" s="514">
        <f t="shared" si="16"/>
        <v>2</v>
      </c>
      <c r="R72" s="514">
        <f t="shared" si="16"/>
        <v>3</v>
      </c>
      <c r="S72" s="514">
        <f t="shared" si="16"/>
        <v>3</v>
      </c>
      <c r="T72" s="514">
        <f t="shared" si="16"/>
        <v>2</v>
      </c>
      <c r="U72" s="845">
        <v>100</v>
      </c>
      <c r="V72" s="887">
        <f aca="true" t="shared" si="17" ref="V72:V85">H72/G72%</f>
        <v>100</v>
      </c>
      <c r="W72" s="80"/>
      <c r="X72" s="302" t="s">
        <v>95</v>
      </c>
      <c r="Y72" s="301" t="s">
        <v>96</v>
      </c>
      <c r="Z72" s="220" t="s">
        <v>97</v>
      </c>
      <c r="AA72" s="303" t="e">
        <f>AA76+AA79+AA95+#REF!+#REF!</f>
        <v>#REF!</v>
      </c>
      <c r="AB72" s="303" t="e">
        <f>AB76+AB79+AB95+#REF!+#REF!</f>
        <v>#REF!</v>
      </c>
      <c r="AC72" s="303" t="e">
        <f>AC76+AC79+AC95+#REF!+#REF!</f>
        <v>#REF!</v>
      </c>
      <c r="AD72" s="303" t="e">
        <f>AD76+AD79+AD95+#REF!+#REF!</f>
        <v>#REF!</v>
      </c>
      <c r="AE72" s="303" t="e">
        <f>AE76+AE79+AE95+#REF!+#REF!</f>
        <v>#REF!</v>
      </c>
      <c r="AF72" s="303" t="e">
        <f>AF76+AF79+AF95+#REF!+#REF!</f>
        <v>#REF!</v>
      </c>
      <c r="AG72" s="303" t="e">
        <f>AG76+AG79+AG95+#REF!+#REF!</f>
        <v>#REF!</v>
      </c>
      <c r="AH72" s="303" t="e">
        <f>AH76+AH79+AH95+#REF!+#REF!</f>
        <v>#REF!</v>
      </c>
      <c r="AI72" s="303" t="e">
        <f>AI76+AI79+AI95+#REF!+#REF!</f>
        <v>#REF!</v>
      </c>
      <c r="AJ72" s="303" t="e">
        <f>AJ76+AJ79+AJ95+#REF!+#REF!</f>
        <v>#REF!</v>
      </c>
      <c r="AK72" s="303" t="e">
        <f>AK76+AK79+AK95+#REF!+#REF!</f>
        <v>#REF!</v>
      </c>
      <c r="AL72" s="303" t="e">
        <f>AL76+AL79+AL95+#REF!+#REF!</f>
        <v>#REF!</v>
      </c>
    </row>
    <row r="73" spans="1:38" s="74" customFormat="1" ht="16.5" customHeight="1">
      <c r="A73" s="843">
        <v>1</v>
      </c>
      <c r="B73" s="844" t="s">
        <v>663</v>
      </c>
      <c r="C73" s="843"/>
      <c r="D73" s="514">
        <v>41</v>
      </c>
      <c r="E73" s="514">
        <v>41</v>
      </c>
      <c r="F73" s="514">
        <v>42</v>
      </c>
      <c r="G73" s="514">
        <f>G76+G79</f>
        <v>41</v>
      </c>
      <c r="H73" s="514">
        <f aca="true" t="shared" si="18" ref="H73:T73">H76+H79</f>
        <v>41</v>
      </c>
      <c r="I73" s="514">
        <f t="shared" si="18"/>
        <v>7</v>
      </c>
      <c r="J73" s="514">
        <f t="shared" si="18"/>
        <v>3</v>
      </c>
      <c r="K73" s="514">
        <f t="shared" si="18"/>
        <v>3</v>
      </c>
      <c r="L73" s="514">
        <f t="shared" si="18"/>
        <v>3</v>
      </c>
      <c r="M73" s="514">
        <f t="shared" si="18"/>
        <v>5</v>
      </c>
      <c r="N73" s="514">
        <f t="shared" si="18"/>
        <v>4</v>
      </c>
      <c r="O73" s="514">
        <f t="shared" si="18"/>
        <v>3</v>
      </c>
      <c r="P73" s="514">
        <f t="shared" si="18"/>
        <v>3</v>
      </c>
      <c r="Q73" s="514">
        <f t="shared" si="18"/>
        <v>2</v>
      </c>
      <c r="R73" s="514">
        <f t="shared" si="18"/>
        <v>3</v>
      </c>
      <c r="S73" s="514">
        <f t="shared" si="18"/>
        <v>3</v>
      </c>
      <c r="T73" s="514">
        <f t="shared" si="18"/>
        <v>2</v>
      </c>
      <c r="U73" s="845">
        <v>100</v>
      </c>
      <c r="V73" s="887">
        <f t="shared" si="17"/>
        <v>100</v>
      </c>
      <c r="W73" s="80"/>
      <c r="X73" s="302"/>
      <c r="Y73" s="301"/>
      <c r="Z73" s="220"/>
      <c r="AA73" s="303"/>
      <c r="AB73" s="303"/>
      <c r="AC73" s="303"/>
      <c r="AD73" s="303"/>
      <c r="AE73" s="303"/>
      <c r="AF73" s="303"/>
      <c r="AG73" s="303"/>
      <c r="AH73" s="303"/>
      <c r="AI73" s="303"/>
      <c r="AJ73" s="303"/>
      <c r="AK73" s="303"/>
      <c r="AL73" s="303"/>
    </row>
    <row r="74" spans="1:38" s="74" customFormat="1" ht="16.5" customHeight="1">
      <c r="A74" s="843"/>
      <c r="B74" s="870" t="s">
        <v>99</v>
      </c>
      <c r="C74" s="843"/>
      <c r="D74" s="514">
        <f>D77+D81</f>
        <v>24</v>
      </c>
      <c r="E74" s="514">
        <f>E77+E81</f>
        <v>25</v>
      </c>
      <c r="F74" s="514">
        <f aca="true" t="shared" si="19" ref="F74:S74">F77+F81</f>
        <v>15</v>
      </c>
      <c r="G74" s="514">
        <f t="shared" si="19"/>
        <v>25</v>
      </c>
      <c r="H74" s="514">
        <f t="shared" si="19"/>
        <v>25</v>
      </c>
      <c r="I74" s="514">
        <f t="shared" si="19"/>
        <v>7</v>
      </c>
      <c r="J74" s="514">
        <f t="shared" si="19"/>
        <v>3</v>
      </c>
      <c r="K74" s="514"/>
      <c r="L74" s="514">
        <f t="shared" si="19"/>
        <v>2</v>
      </c>
      <c r="M74" s="514">
        <f t="shared" si="19"/>
        <v>4</v>
      </c>
      <c r="N74" s="514">
        <f t="shared" si="19"/>
        <v>2</v>
      </c>
      <c r="O74" s="514">
        <f t="shared" si="19"/>
        <v>1</v>
      </c>
      <c r="P74" s="514">
        <f t="shared" si="19"/>
        <v>2</v>
      </c>
      <c r="Q74" s="514">
        <f t="shared" si="19"/>
        <v>1</v>
      </c>
      <c r="R74" s="514">
        <f t="shared" si="19"/>
        <v>2</v>
      </c>
      <c r="S74" s="514">
        <f t="shared" si="19"/>
        <v>1</v>
      </c>
      <c r="T74" s="514"/>
      <c r="U74" s="845">
        <v>100</v>
      </c>
      <c r="V74" s="887">
        <f t="shared" si="17"/>
        <v>100</v>
      </c>
      <c r="W74" s="80"/>
      <c r="X74" s="302"/>
      <c r="Y74" s="301"/>
      <c r="Z74" s="220"/>
      <c r="AA74" s="303"/>
      <c r="AB74" s="303"/>
      <c r="AC74" s="303"/>
      <c r="AD74" s="303"/>
      <c r="AE74" s="303"/>
      <c r="AF74" s="303"/>
      <c r="AG74" s="303"/>
      <c r="AH74" s="303"/>
      <c r="AI74" s="303"/>
      <c r="AJ74" s="303"/>
      <c r="AK74" s="303"/>
      <c r="AL74" s="303"/>
    </row>
    <row r="75" spans="1:38" s="74" customFormat="1" ht="35.25" customHeight="1">
      <c r="A75" s="843"/>
      <c r="B75" s="870" t="s">
        <v>579</v>
      </c>
      <c r="C75" s="843"/>
      <c r="D75" s="514">
        <f>D78+D82</f>
        <v>24</v>
      </c>
      <c r="E75" s="514">
        <f>E78+E82</f>
        <v>25</v>
      </c>
      <c r="F75" s="514">
        <f aca="true" t="shared" si="20" ref="F75:S75">F78+F82</f>
        <v>4</v>
      </c>
      <c r="G75" s="514">
        <f t="shared" si="20"/>
        <v>25</v>
      </c>
      <c r="H75" s="514">
        <f t="shared" si="20"/>
        <v>25</v>
      </c>
      <c r="I75" s="514">
        <f t="shared" si="20"/>
        <v>7</v>
      </c>
      <c r="J75" s="514">
        <f t="shared" si="20"/>
        <v>3</v>
      </c>
      <c r="K75" s="514"/>
      <c r="L75" s="514">
        <f t="shared" si="20"/>
        <v>2</v>
      </c>
      <c r="M75" s="514">
        <f t="shared" si="20"/>
        <v>4</v>
      </c>
      <c r="N75" s="514">
        <f t="shared" si="20"/>
        <v>2</v>
      </c>
      <c r="O75" s="514">
        <f t="shared" si="20"/>
        <v>1</v>
      </c>
      <c r="P75" s="514">
        <f t="shared" si="20"/>
        <v>2</v>
      </c>
      <c r="Q75" s="514">
        <f t="shared" si="20"/>
        <v>1</v>
      </c>
      <c r="R75" s="514">
        <f t="shared" si="20"/>
        <v>2</v>
      </c>
      <c r="S75" s="514">
        <f t="shared" si="20"/>
        <v>1</v>
      </c>
      <c r="T75" s="514"/>
      <c r="U75" s="845">
        <v>100</v>
      </c>
      <c r="V75" s="887">
        <f>H75/G75%</f>
        <v>100</v>
      </c>
      <c r="W75" s="80"/>
      <c r="X75" s="302"/>
      <c r="Y75" s="301"/>
      <c r="Z75" s="220"/>
      <c r="AA75" s="303"/>
      <c r="AB75" s="303"/>
      <c r="AC75" s="303"/>
      <c r="AD75" s="303"/>
      <c r="AE75" s="303"/>
      <c r="AF75" s="303"/>
      <c r="AG75" s="303"/>
      <c r="AH75" s="303"/>
      <c r="AI75" s="303"/>
      <c r="AJ75" s="303"/>
      <c r="AK75" s="303"/>
      <c r="AL75" s="303"/>
    </row>
    <row r="76" spans="1:38" s="355" customFormat="1" ht="16.5" customHeight="1">
      <c r="A76" s="843" t="s">
        <v>211</v>
      </c>
      <c r="B76" s="844" t="s">
        <v>98</v>
      </c>
      <c r="C76" s="843" t="s">
        <v>91</v>
      </c>
      <c r="D76" s="514">
        <v>14</v>
      </c>
      <c r="E76" s="514">
        <v>14</v>
      </c>
      <c r="F76" s="514">
        <v>15</v>
      </c>
      <c r="G76" s="514">
        <v>14</v>
      </c>
      <c r="H76" s="501">
        <f>SUM(I76:T76)</f>
        <v>14</v>
      </c>
      <c r="I76" s="514">
        <v>2</v>
      </c>
      <c r="J76" s="514">
        <v>1</v>
      </c>
      <c r="K76" s="514">
        <v>1</v>
      </c>
      <c r="L76" s="514">
        <v>1</v>
      </c>
      <c r="M76" s="514">
        <v>2</v>
      </c>
      <c r="N76" s="514">
        <v>1</v>
      </c>
      <c r="O76" s="514">
        <v>1</v>
      </c>
      <c r="P76" s="514">
        <v>1</v>
      </c>
      <c r="Q76" s="514">
        <v>1</v>
      </c>
      <c r="R76" s="514">
        <v>1</v>
      </c>
      <c r="S76" s="514">
        <v>1</v>
      </c>
      <c r="T76" s="514">
        <v>1</v>
      </c>
      <c r="U76" s="845">
        <v>100</v>
      </c>
      <c r="V76" s="887">
        <f t="shared" si="17"/>
        <v>99.99999999999999</v>
      </c>
      <c r="W76" s="384"/>
      <c r="X76" s="424">
        <v>1</v>
      </c>
      <c r="Y76" s="410" t="s">
        <v>98</v>
      </c>
      <c r="Z76" s="358" t="s">
        <v>91</v>
      </c>
      <c r="AA76" s="359">
        <v>145</v>
      </c>
      <c r="AB76" s="360">
        <v>151</v>
      </c>
      <c r="AC76" s="361">
        <f aca="true" t="shared" si="21" ref="AC76:AC81">SUM(AD76:AL76)</f>
        <v>155</v>
      </c>
      <c r="AD76" s="374">
        <v>15</v>
      </c>
      <c r="AE76" s="374">
        <v>29</v>
      </c>
      <c r="AF76" s="374">
        <v>19</v>
      </c>
      <c r="AG76" s="374">
        <v>5</v>
      </c>
      <c r="AH76" s="360">
        <v>18</v>
      </c>
      <c r="AI76" s="356">
        <v>18</v>
      </c>
      <c r="AJ76" s="374">
        <v>11</v>
      </c>
      <c r="AK76" s="356">
        <v>25</v>
      </c>
      <c r="AL76" s="374">
        <v>15</v>
      </c>
    </row>
    <row r="77" spans="1:38" s="425" customFormat="1" ht="16.5" customHeight="1">
      <c r="A77" s="855"/>
      <c r="B77" s="870" t="s">
        <v>99</v>
      </c>
      <c r="C77" s="855" t="s">
        <v>91</v>
      </c>
      <c r="D77" s="499">
        <v>7</v>
      </c>
      <c r="E77" s="499">
        <v>8</v>
      </c>
      <c r="F77" s="499">
        <v>4</v>
      </c>
      <c r="G77" s="499">
        <v>8</v>
      </c>
      <c r="H77" s="501">
        <f>SUM(I77:T77)</f>
        <v>8</v>
      </c>
      <c r="I77" s="499">
        <v>2</v>
      </c>
      <c r="J77" s="499">
        <v>1</v>
      </c>
      <c r="K77" s="499"/>
      <c r="L77" s="499">
        <v>1</v>
      </c>
      <c r="M77" s="499">
        <v>1</v>
      </c>
      <c r="N77" s="518">
        <v>1</v>
      </c>
      <c r="O77" s="499"/>
      <c r="P77" s="499">
        <v>1</v>
      </c>
      <c r="Q77" s="499">
        <v>1</v>
      </c>
      <c r="R77" s="499"/>
      <c r="S77" s="499"/>
      <c r="T77" s="499"/>
      <c r="U77" s="857">
        <f>G77/D77*100</f>
        <v>114.28571428571428</v>
      </c>
      <c r="V77" s="862">
        <f t="shared" si="17"/>
        <v>100</v>
      </c>
      <c r="W77" s="373"/>
      <c r="X77" s="393"/>
      <c r="Y77" s="416" t="s">
        <v>99</v>
      </c>
      <c r="Z77" s="366" t="s">
        <v>91</v>
      </c>
      <c r="AA77" s="367">
        <v>24</v>
      </c>
      <c r="AB77" s="368">
        <v>27</v>
      </c>
      <c r="AC77" s="369">
        <f t="shared" si="21"/>
        <v>41</v>
      </c>
      <c r="AD77" s="370">
        <v>7</v>
      </c>
      <c r="AE77" s="370">
        <v>12</v>
      </c>
      <c r="AF77" s="370">
        <v>4</v>
      </c>
      <c r="AG77" s="370">
        <v>2</v>
      </c>
      <c r="AH77" s="370">
        <v>3</v>
      </c>
      <c r="AI77" s="364">
        <v>1</v>
      </c>
      <c r="AJ77" s="370">
        <v>3</v>
      </c>
      <c r="AK77" s="364">
        <v>7</v>
      </c>
      <c r="AL77" s="370">
        <v>2</v>
      </c>
    </row>
    <row r="78" spans="1:38" s="425" customFormat="1" ht="24.75" customHeight="1">
      <c r="A78" s="855"/>
      <c r="B78" s="870" t="s">
        <v>579</v>
      </c>
      <c r="C78" s="855" t="s">
        <v>91</v>
      </c>
      <c r="D78" s="499">
        <v>7</v>
      </c>
      <c r="E78" s="499">
        <v>8</v>
      </c>
      <c r="F78" s="499">
        <v>4</v>
      </c>
      <c r="G78" s="499">
        <v>8</v>
      </c>
      <c r="H78" s="501">
        <f>SUM(I78:T78)</f>
        <v>8</v>
      </c>
      <c r="I78" s="499">
        <v>2</v>
      </c>
      <c r="J78" s="499">
        <v>1</v>
      </c>
      <c r="K78" s="499"/>
      <c r="L78" s="499">
        <v>1</v>
      </c>
      <c r="M78" s="499">
        <v>1</v>
      </c>
      <c r="N78" s="499">
        <v>1</v>
      </c>
      <c r="O78" s="499"/>
      <c r="P78" s="499">
        <v>1</v>
      </c>
      <c r="Q78" s="499">
        <v>1</v>
      </c>
      <c r="R78" s="499"/>
      <c r="S78" s="499"/>
      <c r="T78" s="499"/>
      <c r="U78" s="857">
        <f>G78/D78*100</f>
        <v>114.28571428571428</v>
      </c>
      <c r="V78" s="862">
        <f t="shared" si="17"/>
        <v>100</v>
      </c>
      <c r="W78" s="373"/>
      <c r="X78" s="393"/>
      <c r="Y78" s="416"/>
      <c r="Z78" s="366"/>
      <c r="AA78" s="367"/>
      <c r="AB78" s="368"/>
      <c r="AC78" s="369"/>
      <c r="AD78" s="370"/>
      <c r="AE78" s="370"/>
      <c r="AF78" s="370"/>
      <c r="AG78" s="370"/>
      <c r="AH78" s="370"/>
      <c r="AI78" s="364"/>
      <c r="AJ78" s="370"/>
      <c r="AK78" s="364"/>
      <c r="AL78" s="370"/>
    </row>
    <row r="79" spans="1:38" s="74" customFormat="1" ht="16.5" customHeight="1">
      <c r="A79" s="843" t="s">
        <v>212</v>
      </c>
      <c r="B79" s="844" t="s">
        <v>100</v>
      </c>
      <c r="C79" s="843"/>
      <c r="D79" s="514">
        <f>D84+D88+D92</f>
        <v>27</v>
      </c>
      <c r="E79" s="514">
        <f>E84+E88+E92</f>
        <v>27</v>
      </c>
      <c r="F79" s="514">
        <f>F84+F88+F92</f>
        <v>30</v>
      </c>
      <c r="G79" s="514">
        <f>G84+G88+G92</f>
        <v>27</v>
      </c>
      <c r="H79" s="501">
        <f>SUM(I79:T79)</f>
        <v>27</v>
      </c>
      <c r="I79" s="514">
        <f>I84+I88+I92</f>
        <v>5</v>
      </c>
      <c r="J79" s="514">
        <f aca="true" t="shared" si="22" ref="J79:T79">J84+J88+J92</f>
        <v>2</v>
      </c>
      <c r="K79" s="514">
        <f t="shared" si="22"/>
        <v>2</v>
      </c>
      <c r="L79" s="514">
        <f t="shared" si="22"/>
        <v>2</v>
      </c>
      <c r="M79" s="514">
        <f t="shared" si="22"/>
        <v>3</v>
      </c>
      <c r="N79" s="514">
        <f t="shared" si="22"/>
        <v>3</v>
      </c>
      <c r="O79" s="514">
        <f t="shared" si="22"/>
        <v>2</v>
      </c>
      <c r="P79" s="514">
        <f t="shared" si="22"/>
        <v>2</v>
      </c>
      <c r="Q79" s="514">
        <f t="shared" si="22"/>
        <v>1</v>
      </c>
      <c r="R79" s="514">
        <f t="shared" si="22"/>
        <v>2</v>
      </c>
      <c r="S79" s="514">
        <f t="shared" si="22"/>
        <v>2</v>
      </c>
      <c r="T79" s="514">
        <f t="shared" si="22"/>
        <v>1</v>
      </c>
      <c r="U79" s="845">
        <v>100</v>
      </c>
      <c r="V79" s="887">
        <f>H79/G79%</f>
        <v>100</v>
      </c>
      <c r="W79" s="80"/>
      <c r="X79" s="302">
        <v>2</v>
      </c>
      <c r="Y79" s="301" t="s">
        <v>100</v>
      </c>
      <c r="Z79" s="220"/>
      <c r="AA79" s="162">
        <f>AA84+AA88+AA92</f>
        <v>314</v>
      </c>
      <c r="AB79" s="162">
        <f>AB84+AB88+AB92</f>
        <v>317</v>
      </c>
      <c r="AC79" s="286">
        <f t="shared" si="21"/>
        <v>326</v>
      </c>
      <c r="AD79" s="162">
        <f aca="true" t="shared" si="23" ref="AD79:AL79">AD84+AD88+AD92</f>
        <v>24</v>
      </c>
      <c r="AE79" s="162">
        <f t="shared" si="23"/>
        <v>62</v>
      </c>
      <c r="AF79" s="162">
        <f t="shared" si="23"/>
        <v>41</v>
      </c>
      <c r="AG79" s="162">
        <f t="shared" si="23"/>
        <v>11</v>
      </c>
      <c r="AH79" s="162">
        <f t="shared" si="23"/>
        <v>42</v>
      </c>
      <c r="AI79" s="162">
        <f t="shared" si="23"/>
        <v>42</v>
      </c>
      <c r="AJ79" s="162">
        <f t="shared" si="23"/>
        <v>26</v>
      </c>
      <c r="AK79" s="162">
        <f t="shared" si="23"/>
        <v>47</v>
      </c>
      <c r="AL79" s="162">
        <f t="shared" si="23"/>
        <v>31</v>
      </c>
    </row>
    <row r="80" spans="1:38" s="75" customFormat="1" ht="18.75" customHeight="1">
      <c r="A80" s="855"/>
      <c r="B80" s="870" t="s">
        <v>320</v>
      </c>
      <c r="C80" s="855" t="s">
        <v>91</v>
      </c>
      <c r="D80" s="502">
        <v>1</v>
      </c>
      <c r="E80" s="502">
        <v>1</v>
      </c>
      <c r="F80" s="502">
        <v>1</v>
      </c>
      <c r="G80" s="502">
        <v>1</v>
      </c>
      <c r="H80" s="502">
        <v>1</v>
      </c>
      <c r="I80" s="501">
        <v>1</v>
      </c>
      <c r="J80" s="501"/>
      <c r="K80" s="501"/>
      <c r="L80" s="501"/>
      <c r="M80" s="501"/>
      <c r="N80" s="501"/>
      <c r="O80" s="501"/>
      <c r="P80" s="501"/>
      <c r="Q80" s="501"/>
      <c r="R80" s="501"/>
      <c r="S80" s="501"/>
      <c r="T80" s="501"/>
      <c r="U80" s="857">
        <v>100</v>
      </c>
      <c r="V80" s="862">
        <f t="shared" si="17"/>
        <v>100</v>
      </c>
      <c r="W80" s="76"/>
      <c r="X80" s="77"/>
      <c r="Y80" s="246" t="s">
        <v>101</v>
      </c>
      <c r="Z80" s="78" t="s">
        <v>91</v>
      </c>
      <c r="AA80" s="247">
        <v>8</v>
      </c>
      <c r="AB80" s="248">
        <v>8</v>
      </c>
      <c r="AC80" s="286">
        <f t="shared" si="21"/>
        <v>8</v>
      </c>
      <c r="AD80" s="252">
        <v>1</v>
      </c>
      <c r="AE80" s="252">
        <v>1</v>
      </c>
      <c r="AF80" s="252">
        <v>1</v>
      </c>
      <c r="AG80" s="252">
        <v>0</v>
      </c>
      <c r="AH80" s="252">
        <v>1</v>
      </c>
      <c r="AI80" s="252">
        <v>1</v>
      </c>
      <c r="AJ80" s="252">
        <v>1</v>
      </c>
      <c r="AK80" s="252">
        <v>1</v>
      </c>
      <c r="AL80" s="252">
        <v>1</v>
      </c>
    </row>
    <row r="81" spans="1:38" s="82" customFormat="1" ht="16.5" customHeight="1">
      <c r="A81" s="855"/>
      <c r="B81" s="891" t="s">
        <v>556</v>
      </c>
      <c r="C81" s="855" t="s">
        <v>91</v>
      </c>
      <c r="D81" s="502">
        <f aca="true" t="shared" si="24" ref="D81:S82">D85+D89+D93</f>
        <v>17</v>
      </c>
      <c r="E81" s="502">
        <f t="shared" si="24"/>
        <v>17</v>
      </c>
      <c r="F81" s="502">
        <f t="shared" si="24"/>
        <v>11</v>
      </c>
      <c r="G81" s="502">
        <f t="shared" si="24"/>
        <v>17</v>
      </c>
      <c r="H81" s="502">
        <f t="shared" si="24"/>
        <v>17</v>
      </c>
      <c r="I81" s="502">
        <f t="shared" si="24"/>
        <v>5</v>
      </c>
      <c r="J81" s="502">
        <f t="shared" si="24"/>
        <v>2</v>
      </c>
      <c r="K81" s="502"/>
      <c r="L81" s="502">
        <f t="shared" si="24"/>
        <v>1</v>
      </c>
      <c r="M81" s="502">
        <f t="shared" si="24"/>
        <v>3</v>
      </c>
      <c r="N81" s="502">
        <f t="shared" si="24"/>
        <v>1</v>
      </c>
      <c r="O81" s="502">
        <f t="shared" si="24"/>
        <v>1</v>
      </c>
      <c r="P81" s="502">
        <f t="shared" si="24"/>
        <v>1</v>
      </c>
      <c r="Q81" s="502"/>
      <c r="R81" s="502">
        <f t="shared" si="24"/>
        <v>2</v>
      </c>
      <c r="S81" s="502">
        <f t="shared" si="24"/>
        <v>1</v>
      </c>
      <c r="T81" s="502"/>
      <c r="U81" s="857">
        <v>100</v>
      </c>
      <c r="V81" s="862">
        <f t="shared" si="17"/>
        <v>99.99999999999999</v>
      </c>
      <c r="W81" s="76"/>
      <c r="X81" s="77"/>
      <c r="Y81" s="251" t="s">
        <v>102</v>
      </c>
      <c r="Z81" s="78" t="s">
        <v>91</v>
      </c>
      <c r="AA81" s="252">
        <f>AA85+AA89+AA93</f>
        <v>72</v>
      </c>
      <c r="AB81" s="252">
        <f>AB85+AB89+AB93</f>
        <v>75</v>
      </c>
      <c r="AC81" s="249">
        <f t="shared" si="21"/>
        <v>100</v>
      </c>
      <c r="AD81" s="252">
        <f aca="true" t="shared" si="25" ref="AD81:AL81">AD85+AD89+AD93</f>
        <v>16</v>
      </c>
      <c r="AE81" s="252">
        <f t="shared" si="25"/>
        <v>45</v>
      </c>
      <c r="AF81" s="252">
        <f t="shared" si="25"/>
        <v>4</v>
      </c>
      <c r="AG81" s="252">
        <f t="shared" si="25"/>
        <v>2</v>
      </c>
      <c r="AH81" s="252">
        <f t="shared" si="25"/>
        <v>9</v>
      </c>
      <c r="AI81" s="252">
        <f t="shared" si="25"/>
        <v>1</v>
      </c>
      <c r="AJ81" s="252">
        <f t="shared" si="25"/>
        <v>7</v>
      </c>
      <c r="AK81" s="252">
        <f t="shared" si="25"/>
        <v>13</v>
      </c>
      <c r="AL81" s="252">
        <f t="shared" si="25"/>
        <v>3</v>
      </c>
    </row>
    <row r="82" spans="1:38" s="82" customFormat="1" ht="27.75" customHeight="1">
      <c r="A82" s="855"/>
      <c r="B82" s="870" t="s">
        <v>579</v>
      </c>
      <c r="C82" s="855" t="s">
        <v>91</v>
      </c>
      <c r="D82" s="502">
        <f t="shared" si="24"/>
        <v>17</v>
      </c>
      <c r="E82" s="502">
        <f t="shared" si="24"/>
        <v>17</v>
      </c>
      <c r="F82" s="502">
        <f t="shared" si="24"/>
        <v>0</v>
      </c>
      <c r="G82" s="502">
        <f t="shared" si="24"/>
        <v>17</v>
      </c>
      <c r="H82" s="502">
        <f t="shared" si="24"/>
        <v>17</v>
      </c>
      <c r="I82" s="502">
        <f t="shared" si="24"/>
        <v>5</v>
      </c>
      <c r="J82" s="502">
        <f t="shared" si="24"/>
        <v>2</v>
      </c>
      <c r="K82" s="502"/>
      <c r="L82" s="502">
        <f t="shared" si="24"/>
        <v>1</v>
      </c>
      <c r="M82" s="502">
        <f t="shared" si="24"/>
        <v>3</v>
      </c>
      <c r="N82" s="502">
        <f t="shared" si="24"/>
        <v>1</v>
      </c>
      <c r="O82" s="502">
        <f t="shared" si="24"/>
        <v>1</v>
      </c>
      <c r="P82" s="502">
        <f t="shared" si="24"/>
        <v>1</v>
      </c>
      <c r="Q82" s="502"/>
      <c r="R82" s="502">
        <f t="shared" si="24"/>
        <v>2</v>
      </c>
      <c r="S82" s="502">
        <f t="shared" si="24"/>
        <v>1</v>
      </c>
      <c r="T82" s="502"/>
      <c r="U82" s="857">
        <v>100</v>
      </c>
      <c r="V82" s="862">
        <f t="shared" si="17"/>
        <v>99.99999999999999</v>
      </c>
      <c r="W82" s="76"/>
      <c r="X82" s="77"/>
      <c r="Y82" s="251"/>
      <c r="Z82" s="78"/>
      <c r="AA82" s="252"/>
      <c r="AB82" s="252"/>
      <c r="AC82" s="249"/>
      <c r="AD82" s="252"/>
      <c r="AE82" s="252"/>
      <c r="AF82" s="252"/>
      <c r="AG82" s="252"/>
      <c r="AH82" s="252"/>
      <c r="AI82" s="252"/>
      <c r="AJ82" s="252"/>
      <c r="AK82" s="252"/>
      <c r="AL82" s="252"/>
    </row>
    <row r="83" spans="1:38" s="82" customFormat="1" ht="16.5" customHeight="1">
      <c r="A83" s="894"/>
      <c r="B83" s="891" t="s">
        <v>165</v>
      </c>
      <c r="C83" s="873" t="s">
        <v>91</v>
      </c>
      <c r="D83" s="502">
        <f>D87+D91</f>
        <v>18</v>
      </c>
      <c r="E83" s="502">
        <f>E87+E91</f>
        <v>18</v>
      </c>
      <c r="F83" s="502">
        <f aca="true" t="shared" si="26" ref="F83:T83">F87+F91</f>
        <v>19</v>
      </c>
      <c r="G83" s="502">
        <f t="shared" si="26"/>
        <v>18</v>
      </c>
      <c r="H83" s="502">
        <f t="shared" si="26"/>
        <v>18</v>
      </c>
      <c r="I83" s="502">
        <f t="shared" si="26"/>
        <v>1</v>
      </c>
      <c r="J83" s="502">
        <f t="shared" si="26"/>
        <v>1</v>
      </c>
      <c r="K83" s="502"/>
      <c r="L83" s="502">
        <f t="shared" si="26"/>
        <v>2</v>
      </c>
      <c r="M83" s="502">
        <f t="shared" si="26"/>
        <v>2</v>
      </c>
      <c r="N83" s="502">
        <f t="shared" si="26"/>
        <v>2</v>
      </c>
      <c r="O83" s="502">
        <f t="shared" si="26"/>
        <v>2</v>
      </c>
      <c r="P83" s="502">
        <f t="shared" si="26"/>
        <v>2</v>
      </c>
      <c r="Q83" s="502">
        <f t="shared" si="26"/>
        <v>2</v>
      </c>
      <c r="R83" s="502">
        <f t="shared" si="26"/>
        <v>1</v>
      </c>
      <c r="S83" s="502">
        <f t="shared" si="26"/>
        <v>2</v>
      </c>
      <c r="T83" s="502">
        <f t="shared" si="26"/>
        <v>1</v>
      </c>
      <c r="U83" s="857">
        <v>100</v>
      </c>
      <c r="V83" s="862">
        <f t="shared" si="17"/>
        <v>100</v>
      </c>
      <c r="W83" s="76"/>
      <c r="X83" s="77"/>
      <c r="Y83" s="251"/>
      <c r="Z83" s="78"/>
      <c r="AA83" s="252"/>
      <c r="AB83" s="252"/>
      <c r="AC83" s="249"/>
      <c r="AD83" s="252"/>
      <c r="AE83" s="252"/>
      <c r="AF83" s="252"/>
      <c r="AG83" s="252"/>
      <c r="AH83" s="252"/>
      <c r="AI83" s="252"/>
      <c r="AJ83" s="252"/>
      <c r="AK83" s="252"/>
      <c r="AL83" s="252"/>
    </row>
    <row r="84" spans="1:38" s="74" customFormat="1" ht="16.5" customHeight="1">
      <c r="A84" s="843" t="s">
        <v>169</v>
      </c>
      <c r="B84" s="844" t="s">
        <v>103</v>
      </c>
      <c r="C84" s="843" t="s">
        <v>97</v>
      </c>
      <c r="D84" s="514">
        <v>13</v>
      </c>
      <c r="E84" s="514">
        <v>13</v>
      </c>
      <c r="F84" s="514">
        <v>16</v>
      </c>
      <c r="G84" s="514">
        <v>13</v>
      </c>
      <c r="H84" s="849">
        <f aca="true" t="shared" si="27" ref="H84:H95">SUM(I84:T84)</f>
        <v>13</v>
      </c>
      <c r="I84" s="514">
        <v>2</v>
      </c>
      <c r="J84" s="514">
        <v>1</v>
      </c>
      <c r="K84" s="514">
        <v>1</v>
      </c>
      <c r="L84" s="514">
        <v>1</v>
      </c>
      <c r="M84" s="514">
        <v>2</v>
      </c>
      <c r="N84" s="514">
        <v>2</v>
      </c>
      <c r="O84" s="514">
        <v>1</v>
      </c>
      <c r="P84" s="514">
        <v>1</v>
      </c>
      <c r="Q84" s="514"/>
      <c r="R84" s="514">
        <v>1</v>
      </c>
      <c r="S84" s="514">
        <v>1</v>
      </c>
      <c r="T84" s="532"/>
      <c r="U84" s="845">
        <v>100</v>
      </c>
      <c r="V84" s="887">
        <f t="shared" si="17"/>
        <v>100</v>
      </c>
      <c r="W84" s="80"/>
      <c r="X84" s="306"/>
      <c r="Y84" s="301" t="s">
        <v>104</v>
      </c>
      <c r="Z84" s="220" t="s">
        <v>97</v>
      </c>
      <c r="AA84" s="303">
        <v>170</v>
      </c>
      <c r="AB84" s="304">
        <v>173</v>
      </c>
      <c r="AC84" s="286">
        <f>SUM(AD84:AL84)</f>
        <v>178</v>
      </c>
      <c r="AD84" s="284">
        <v>10</v>
      </c>
      <c r="AE84" s="284">
        <v>37</v>
      </c>
      <c r="AF84" s="284">
        <v>23</v>
      </c>
      <c r="AG84" s="284">
        <v>5</v>
      </c>
      <c r="AH84" s="284">
        <v>22</v>
      </c>
      <c r="AI84" s="302">
        <v>24</v>
      </c>
      <c r="AJ84" s="284">
        <v>13</v>
      </c>
      <c r="AK84" s="302">
        <v>28</v>
      </c>
      <c r="AL84" s="284">
        <v>16</v>
      </c>
    </row>
    <row r="85" spans="1:38" s="82" customFormat="1" ht="16.5" customHeight="1">
      <c r="A85" s="855"/>
      <c r="B85" s="870" t="s">
        <v>99</v>
      </c>
      <c r="C85" s="855" t="s">
        <v>97</v>
      </c>
      <c r="D85" s="502">
        <v>6</v>
      </c>
      <c r="E85" s="502">
        <v>6</v>
      </c>
      <c r="F85" s="502">
        <v>4</v>
      </c>
      <c r="G85" s="502">
        <v>6</v>
      </c>
      <c r="H85" s="502">
        <f t="shared" si="27"/>
        <v>6</v>
      </c>
      <c r="I85" s="501">
        <v>2</v>
      </c>
      <c r="J85" s="501">
        <v>1</v>
      </c>
      <c r="K85" s="501"/>
      <c r="L85" s="501"/>
      <c r="M85" s="501">
        <v>2</v>
      </c>
      <c r="N85" s="501"/>
      <c r="O85" s="501"/>
      <c r="P85" s="501"/>
      <c r="Q85" s="501"/>
      <c r="R85" s="501">
        <v>1</v>
      </c>
      <c r="S85" s="501"/>
      <c r="T85" s="501"/>
      <c r="U85" s="857">
        <v>100</v>
      </c>
      <c r="V85" s="862">
        <f t="shared" si="17"/>
        <v>100</v>
      </c>
      <c r="W85" s="76"/>
      <c r="X85" s="253"/>
      <c r="Y85" s="246" t="s">
        <v>105</v>
      </c>
      <c r="Z85" s="78" t="s">
        <v>91</v>
      </c>
      <c r="AA85" s="247">
        <v>51</v>
      </c>
      <c r="AB85" s="248">
        <v>51</v>
      </c>
      <c r="AC85" s="286">
        <f>SUM(AD85:AL85)</f>
        <v>63</v>
      </c>
      <c r="AD85" s="238">
        <v>7</v>
      </c>
      <c r="AE85" s="238">
        <v>30</v>
      </c>
      <c r="AF85" s="238">
        <v>2</v>
      </c>
      <c r="AG85" s="238">
        <v>1</v>
      </c>
      <c r="AH85" s="238">
        <v>5</v>
      </c>
      <c r="AI85" s="77">
        <v>1</v>
      </c>
      <c r="AJ85" s="238">
        <v>5</v>
      </c>
      <c r="AK85" s="77">
        <v>10</v>
      </c>
      <c r="AL85" s="238">
        <v>2</v>
      </c>
    </row>
    <row r="86" spans="1:38" s="82" customFormat="1" ht="24" customHeight="1">
      <c r="A86" s="855"/>
      <c r="B86" s="870" t="s">
        <v>579</v>
      </c>
      <c r="C86" s="855" t="s">
        <v>97</v>
      </c>
      <c r="D86" s="502">
        <v>6</v>
      </c>
      <c r="E86" s="502">
        <v>6</v>
      </c>
      <c r="F86" s="502"/>
      <c r="G86" s="502">
        <v>6</v>
      </c>
      <c r="H86" s="502">
        <f t="shared" si="27"/>
        <v>6</v>
      </c>
      <c r="I86" s="501">
        <v>2</v>
      </c>
      <c r="J86" s="501">
        <v>1</v>
      </c>
      <c r="K86" s="501"/>
      <c r="L86" s="501"/>
      <c r="M86" s="501">
        <v>2</v>
      </c>
      <c r="N86" s="501"/>
      <c r="O86" s="501"/>
      <c r="P86" s="501"/>
      <c r="Q86" s="501"/>
      <c r="R86" s="501">
        <v>1</v>
      </c>
      <c r="S86" s="501"/>
      <c r="T86" s="501"/>
      <c r="U86" s="857">
        <v>100</v>
      </c>
      <c r="V86" s="862">
        <f aca="true" t="shared" si="28" ref="V86:V95">H86/G86%</f>
        <v>100</v>
      </c>
      <c r="W86" s="76"/>
      <c r="X86" s="253"/>
      <c r="Y86" s="246"/>
      <c r="Z86" s="78"/>
      <c r="AA86" s="247"/>
      <c r="AB86" s="248"/>
      <c r="AC86" s="286"/>
      <c r="AD86" s="238"/>
      <c r="AE86" s="238"/>
      <c r="AF86" s="238"/>
      <c r="AG86" s="238"/>
      <c r="AH86" s="238"/>
      <c r="AI86" s="77"/>
      <c r="AJ86" s="238"/>
      <c r="AK86" s="77"/>
      <c r="AL86" s="238"/>
    </row>
    <row r="87" spans="1:38" s="82" customFormat="1" ht="16.5" customHeight="1">
      <c r="A87" s="895"/>
      <c r="B87" s="896" t="s">
        <v>106</v>
      </c>
      <c r="C87" s="855" t="s">
        <v>97</v>
      </c>
      <c r="D87" s="502">
        <v>10</v>
      </c>
      <c r="E87" s="502">
        <v>10</v>
      </c>
      <c r="F87" s="502">
        <v>11</v>
      </c>
      <c r="G87" s="502">
        <v>10</v>
      </c>
      <c r="H87" s="502">
        <f t="shared" si="27"/>
        <v>10</v>
      </c>
      <c r="I87" s="501">
        <v>1</v>
      </c>
      <c r="J87" s="501">
        <v>1</v>
      </c>
      <c r="K87" s="501"/>
      <c r="L87" s="501">
        <v>1</v>
      </c>
      <c r="M87" s="501">
        <v>1</v>
      </c>
      <c r="N87" s="501">
        <v>1</v>
      </c>
      <c r="O87" s="501">
        <v>1</v>
      </c>
      <c r="P87" s="501">
        <v>1</v>
      </c>
      <c r="Q87" s="501">
        <v>1</v>
      </c>
      <c r="R87" s="501">
        <v>1</v>
      </c>
      <c r="S87" s="501">
        <v>1</v>
      </c>
      <c r="T87" s="529"/>
      <c r="U87" s="857">
        <v>100</v>
      </c>
      <c r="V87" s="862">
        <f t="shared" si="28"/>
        <v>100</v>
      </c>
      <c r="W87" s="76"/>
      <c r="X87" s="253"/>
      <c r="Y87" s="246"/>
      <c r="Z87" s="78"/>
      <c r="AA87" s="247"/>
      <c r="AB87" s="248"/>
      <c r="AC87" s="286"/>
      <c r="AD87" s="238"/>
      <c r="AE87" s="238"/>
      <c r="AF87" s="238"/>
      <c r="AG87" s="238"/>
      <c r="AH87" s="238"/>
      <c r="AI87" s="77"/>
      <c r="AJ87" s="238"/>
      <c r="AK87" s="77"/>
      <c r="AL87" s="238"/>
    </row>
    <row r="88" spans="1:38" s="74" customFormat="1" ht="16.5" customHeight="1">
      <c r="A88" s="843" t="s">
        <v>170</v>
      </c>
      <c r="B88" s="844" t="s">
        <v>107</v>
      </c>
      <c r="C88" s="843" t="s">
        <v>97</v>
      </c>
      <c r="D88" s="514">
        <v>10</v>
      </c>
      <c r="E88" s="514">
        <v>10</v>
      </c>
      <c r="F88" s="514">
        <v>10</v>
      </c>
      <c r="G88" s="514">
        <v>10</v>
      </c>
      <c r="H88" s="503">
        <f t="shared" si="27"/>
        <v>10</v>
      </c>
      <c r="I88" s="514">
        <v>1</v>
      </c>
      <c r="J88" s="514">
        <v>1</v>
      </c>
      <c r="K88" s="514"/>
      <c r="L88" s="514">
        <v>1</v>
      </c>
      <c r="M88" s="514">
        <v>1</v>
      </c>
      <c r="N88" s="514">
        <v>1</v>
      </c>
      <c r="O88" s="514">
        <v>1</v>
      </c>
      <c r="P88" s="514">
        <v>1</v>
      </c>
      <c r="Q88" s="514">
        <v>1</v>
      </c>
      <c r="R88" s="514"/>
      <c r="S88" s="514">
        <v>1</v>
      </c>
      <c r="T88" s="514">
        <v>1</v>
      </c>
      <c r="U88" s="845">
        <v>100</v>
      </c>
      <c r="V88" s="887">
        <f t="shared" si="28"/>
        <v>100</v>
      </c>
      <c r="W88" s="80"/>
      <c r="X88" s="306"/>
      <c r="Y88" s="301" t="s">
        <v>108</v>
      </c>
      <c r="Z88" s="220" t="s">
        <v>91</v>
      </c>
      <c r="AA88" s="303">
        <v>115</v>
      </c>
      <c r="AB88" s="304">
        <v>115</v>
      </c>
      <c r="AC88" s="286">
        <f>SUM(AD88:AL88)</f>
        <v>119</v>
      </c>
      <c r="AD88" s="284">
        <v>9</v>
      </c>
      <c r="AE88" s="284">
        <v>19</v>
      </c>
      <c r="AF88" s="284">
        <v>15</v>
      </c>
      <c r="AG88" s="284">
        <v>5</v>
      </c>
      <c r="AH88" s="284">
        <v>18</v>
      </c>
      <c r="AI88" s="302">
        <v>15</v>
      </c>
      <c r="AJ88" s="284">
        <v>10</v>
      </c>
      <c r="AK88" s="302">
        <v>16</v>
      </c>
      <c r="AL88" s="284">
        <v>12</v>
      </c>
    </row>
    <row r="89" spans="1:38" s="83" customFormat="1" ht="16.5" customHeight="1">
      <c r="A89" s="855"/>
      <c r="B89" s="870" t="s">
        <v>109</v>
      </c>
      <c r="C89" s="855" t="s">
        <v>97</v>
      </c>
      <c r="D89" s="502">
        <v>8</v>
      </c>
      <c r="E89" s="502">
        <v>8</v>
      </c>
      <c r="F89" s="502">
        <v>6</v>
      </c>
      <c r="G89" s="501">
        <v>8</v>
      </c>
      <c r="H89" s="501">
        <f t="shared" si="27"/>
        <v>8</v>
      </c>
      <c r="I89" s="501">
        <v>1</v>
      </c>
      <c r="J89" s="501">
        <v>1</v>
      </c>
      <c r="K89" s="527"/>
      <c r="L89" s="501">
        <v>1</v>
      </c>
      <c r="M89" s="501">
        <v>1</v>
      </c>
      <c r="N89" s="501">
        <v>1</v>
      </c>
      <c r="O89" s="501">
        <v>1</v>
      </c>
      <c r="P89" s="501">
        <v>1</v>
      </c>
      <c r="Q89" s="501"/>
      <c r="R89" s="501"/>
      <c r="S89" s="501">
        <v>1</v>
      </c>
      <c r="T89" s="501"/>
      <c r="U89" s="857">
        <v>100</v>
      </c>
      <c r="V89" s="862">
        <f t="shared" si="28"/>
        <v>100</v>
      </c>
      <c r="W89" s="76"/>
      <c r="X89" s="253"/>
      <c r="Y89" s="246" t="s">
        <v>110</v>
      </c>
      <c r="Z89" s="78" t="s">
        <v>91</v>
      </c>
      <c r="AA89" s="247">
        <v>20</v>
      </c>
      <c r="AB89" s="248">
        <v>22</v>
      </c>
      <c r="AC89" s="249">
        <f>SUM(AD89:AL89)</f>
        <v>34</v>
      </c>
      <c r="AD89" s="238">
        <v>6</v>
      </c>
      <c r="AE89" s="238">
        <v>15</v>
      </c>
      <c r="AF89" s="307">
        <v>2</v>
      </c>
      <c r="AG89" s="307">
        <v>1</v>
      </c>
      <c r="AH89" s="238">
        <v>4</v>
      </c>
      <c r="AI89" s="250">
        <v>0</v>
      </c>
      <c r="AJ89" s="238">
        <v>2</v>
      </c>
      <c r="AK89" s="77">
        <v>3</v>
      </c>
      <c r="AL89" s="238">
        <v>1</v>
      </c>
    </row>
    <row r="90" spans="1:38" s="83" customFormat="1" ht="24" customHeight="1">
      <c r="A90" s="855"/>
      <c r="B90" s="870" t="s">
        <v>579</v>
      </c>
      <c r="C90" s="855" t="s">
        <v>97</v>
      </c>
      <c r="D90" s="502">
        <v>8</v>
      </c>
      <c r="E90" s="502">
        <v>8</v>
      </c>
      <c r="F90" s="502"/>
      <c r="G90" s="501">
        <v>8</v>
      </c>
      <c r="H90" s="501">
        <f t="shared" si="27"/>
        <v>8</v>
      </c>
      <c r="I90" s="501">
        <v>1</v>
      </c>
      <c r="J90" s="501">
        <v>1</v>
      </c>
      <c r="K90" s="527"/>
      <c r="L90" s="501">
        <v>1</v>
      </c>
      <c r="M90" s="501">
        <v>1</v>
      </c>
      <c r="N90" s="501">
        <v>1</v>
      </c>
      <c r="O90" s="501">
        <v>1</v>
      </c>
      <c r="P90" s="501">
        <v>1</v>
      </c>
      <c r="Q90" s="501"/>
      <c r="R90" s="501"/>
      <c r="S90" s="501">
        <v>1</v>
      </c>
      <c r="T90" s="501"/>
      <c r="U90" s="857">
        <v>100</v>
      </c>
      <c r="V90" s="862">
        <f t="shared" si="28"/>
        <v>100</v>
      </c>
      <c r="W90" s="76"/>
      <c r="X90" s="253"/>
      <c r="Y90" s="246"/>
      <c r="Z90" s="78"/>
      <c r="AA90" s="247"/>
      <c r="AB90" s="248"/>
      <c r="AC90" s="249"/>
      <c r="AD90" s="238"/>
      <c r="AE90" s="238"/>
      <c r="AF90" s="307"/>
      <c r="AG90" s="307"/>
      <c r="AH90" s="238"/>
      <c r="AI90" s="250"/>
      <c r="AJ90" s="238"/>
      <c r="AK90" s="77"/>
      <c r="AL90" s="238"/>
    </row>
    <row r="91" spans="1:38" s="83" customFormat="1" ht="16.5" customHeight="1">
      <c r="A91" s="855"/>
      <c r="B91" s="896" t="s">
        <v>106</v>
      </c>
      <c r="C91" s="855" t="s">
        <v>97</v>
      </c>
      <c r="D91" s="502">
        <v>8</v>
      </c>
      <c r="E91" s="502">
        <v>8</v>
      </c>
      <c r="F91" s="502">
        <v>8</v>
      </c>
      <c r="G91" s="501">
        <v>8</v>
      </c>
      <c r="H91" s="501">
        <f t="shared" si="27"/>
        <v>8</v>
      </c>
      <c r="I91" s="501"/>
      <c r="J91" s="529"/>
      <c r="K91" s="533"/>
      <c r="L91" s="501">
        <v>1</v>
      </c>
      <c r="M91" s="501">
        <v>1</v>
      </c>
      <c r="N91" s="501">
        <v>1</v>
      </c>
      <c r="O91" s="501">
        <v>1</v>
      </c>
      <c r="P91" s="501">
        <v>1</v>
      </c>
      <c r="Q91" s="501">
        <v>1</v>
      </c>
      <c r="R91" s="501"/>
      <c r="S91" s="501">
        <v>1</v>
      </c>
      <c r="T91" s="501">
        <v>1</v>
      </c>
      <c r="U91" s="857">
        <v>100</v>
      </c>
      <c r="V91" s="862">
        <f t="shared" si="28"/>
        <v>100</v>
      </c>
      <c r="W91" s="76"/>
      <c r="X91" s="253"/>
      <c r="Y91" s="246"/>
      <c r="Z91" s="78"/>
      <c r="AA91" s="247"/>
      <c r="AB91" s="248"/>
      <c r="AC91" s="249"/>
      <c r="AD91" s="238"/>
      <c r="AE91" s="238"/>
      <c r="AF91" s="307"/>
      <c r="AG91" s="307"/>
      <c r="AH91" s="238"/>
      <c r="AI91" s="250"/>
      <c r="AJ91" s="238"/>
      <c r="AK91" s="77"/>
      <c r="AL91" s="238"/>
    </row>
    <row r="92" spans="1:38" s="74" customFormat="1" ht="16.5" customHeight="1">
      <c r="A92" s="843" t="s">
        <v>171</v>
      </c>
      <c r="B92" s="844" t="s">
        <v>111</v>
      </c>
      <c r="C92" s="843" t="s">
        <v>97</v>
      </c>
      <c r="D92" s="890">
        <v>4</v>
      </c>
      <c r="E92" s="890">
        <v>4</v>
      </c>
      <c r="F92" s="890">
        <v>4</v>
      </c>
      <c r="G92" s="532">
        <v>4</v>
      </c>
      <c r="H92" s="503">
        <f t="shared" si="27"/>
        <v>4</v>
      </c>
      <c r="I92" s="503">
        <v>2</v>
      </c>
      <c r="J92" s="503"/>
      <c r="K92" s="534">
        <v>1</v>
      </c>
      <c r="L92" s="503"/>
      <c r="M92" s="503"/>
      <c r="N92" s="503"/>
      <c r="O92" s="503"/>
      <c r="P92" s="503"/>
      <c r="Q92" s="503"/>
      <c r="R92" s="503">
        <v>1</v>
      </c>
      <c r="S92" s="503"/>
      <c r="T92" s="503"/>
      <c r="U92" s="857">
        <v>100</v>
      </c>
      <c r="V92" s="887">
        <f t="shared" si="28"/>
        <v>100</v>
      </c>
      <c r="W92" s="80"/>
      <c r="X92" s="306"/>
      <c r="Y92" s="301" t="s">
        <v>112</v>
      </c>
      <c r="Z92" s="220" t="s">
        <v>91</v>
      </c>
      <c r="AA92" s="303">
        <v>29</v>
      </c>
      <c r="AB92" s="304">
        <v>29</v>
      </c>
      <c r="AC92" s="286">
        <f>SUM(AD92:AL92)</f>
        <v>29</v>
      </c>
      <c r="AD92" s="284">
        <v>5</v>
      </c>
      <c r="AE92" s="284">
        <v>6</v>
      </c>
      <c r="AF92" s="284">
        <v>3</v>
      </c>
      <c r="AG92" s="284">
        <v>1</v>
      </c>
      <c r="AH92" s="284">
        <v>2</v>
      </c>
      <c r="AI92" s="302">
        <v>3</v>
      </c>
      <c r="AJ92" s="284">
        <v>3</v>
      </c>
      <c r="AK92" s="302">
        <v>3</v>
      </c>
      <c r="AL92" s="284">
        <v>3</v>
      </c>
    </row>
    <row r="93" spans="1:38" s="83" customFormat="1" ht="16.5" customHeight="1">
      <c r="A93" s="855"/>
      <c r="B93" s="870" t="s">
        <v>113</v>
      </c>
      <c r="C93" s="855" t="s">
        <v>97</v>
      </c>
      <c r="D93" s="502">
        <v>3</v>
      </c>
      <c r="E93" s="502">
        <v>3</v>
      </c>
      <c r="F93" s="502">
        <v>1</v>
      </c>
      <c r="G93" s="501">
        <v>3</v>
      </c>
      <c r="H93" s="501">
        <f t="shared" si="27"/>
        <v>3</v>
      </c>
      <c r="I93" s="501">
        <v>2</v>
      </c>
      <c r="J93" s="501"/>
      <c r="K93" s="527"/>
      <c r="L93" s="501"/>
      <c r="M93" s="501"/>
      <c r="N93" s="501"/>
      <c r="O93" s="501"/>
      <c r="P93" s="501"/>
      <c r="Q93" s="501"/>
      <c r="R93" s="501">
        <v>1</v>
      </c>
      <c r="S93" s="501"/>
      <c r="T93" s="501"/>
      <c r="U93" s="857">
        <v>100</v>
      </c>
      <c r="V93" s="862">
        <f t="shared" si="28"/>
        <v>100</v>
      </c>
      <c r="W93" s="76"/>
      <c r="X93" s="253"/>
      <c r="Y93" s="246" t="s">
        <v>110</v>
      </c>
      <c r="Z93" s="78" t="s">
        <v>91</v>
      </c>
      <c r="AA93" s="247">
        <v>1</v>
      </c>
      <c r="AB93" s="248">
        <v>2</v>
      </c>
      <c r="AC93" s="249">
        <f>SUM(AD93:AL93)</f>
        <v>3</v>
      </c>
      <c r="AD93" s="238">
        <v>3</v>
      </c>
      <c r="AE93" s="238">
        <v>0</v>
      </c>
      <c r="AF93" s="238">
        <v>0</v>
      </c>
      <c r="AG93" s="238">
        <v>0</v>
      </c>
      <c r="AH93" s="238">
        <v>0</v>
      </c>
      <c r="AI93" s="238">
        <v>0</v>
      </c>
      <c r="AJ93" s="238">
        <v>0</v>
      </c>
      <c r="AK93" s="238">
        <v>0</v>
      </c>
      <c r="AL93" s="238">
        <v>0</v>
      </c>
    </row>
    <row r="94" spans="1:38" s="83" customFormat="1" ht="26.25" customHeight="1">
      <c r="A94" s="855"/>
      <c r="B94" s="870" t="s">
        <v>579</v>
      </c>
      <c r="C94" s="855" t="s">
        <v>97</v>
      </c>
      <c r="D94" s="502">
        <v>3</v>
      </c>
      <c r="E94" s="502">
        <v>3</v>
      </c>
      <c r="F94" s="502"/>
      <c r="G94" s="501">
        <v>3</v>
      </c>
      <c r="H94" s="501">
        <f t="shared" si="27"/>
        <v>3</v>
      </c>
      <c r="I94" s="501">
        <v>2</v>
      </c>
      <c r="J94" s="501"/>
      <c r="K94" s="527"/>
      <c r="L94" s="501"/>
      <c r="M94" s="501"/>
      <c r="N94" s="501"/>
      <c r="O94" s="501"/>
      <c r="P94" s="501"/>
      <c r="Q94" s="501"/>
      <c r="R94" s="501">
        <v>1</v>
      </c>
      <c r="S94" s="501"/>
      <c r="T94" s="501"/>
      <c r="U94" s="857">
        <v>100</v>
      </c>
      <c r="V94" s="862">
        <f t="shared" si="28"/>
        <v>100</v>
      </c>
      <c r="W94" s="76"/>
      <c r="X94" s="253"/>
      <c r="Y94" s="246"/>
      <c r="Z94" s="78"/>
      <c r="AA94" s="247"/>
      <c r="AB94" s="248"/>
      <c r="AC94" s="249"/>
      <c r="AD94" s="238"/>
      <c r="AE94" s="238"/>
      <c r="AF94" s="238"/>
      <c r="AG94" s="238"/>
      <c r="AH94" s="238"/>
      <c r="AI94" s="238"/>
      <c r="AJ94" s="238"/>
      <c r="AK94" s="238"/>
      <c r="AL94" s="238"/>
    </row>
    <row r="95" spans="1:38" s="74" customFormat="1" ht="27" customHeight="1">
      <c r="A95" s="843">
        <v>2</v>
      </c>
      <c r="B95" s="844" t="s">
        <v>373</v>
      </c>
      <c r="C95" s="843" t="s">
        <v>423</v>
      </c>
      <c r="D95" s="849">
        <v>1</v>
      </c>
      <c r="E95" s="849">
        <v>1</v>
      </c>
      <c r="F95" s="849">
        <v>1</v>
      </c>
      <c r="G95" s="503">
        <v>1</v>
      </c>
      <c r="H95" s="503">
        <f t="shared" si="27"/>
        <v>1</v>
      </c>
      <c r="I95" s="503">
        <v>1</v>
      </c>
      <c r="J95" s="503"/>
      <c r="K95" s="534"/>
      <c r="L95" s="503"/>
      <c r="M95" s="503"/>
      <c r="N95" s="503"/>
      <c r="O95" s="503"/>
      <c r="P95" s="503"/>
      <c r="Q95" s="503"/>
      <c r="R95" s="503"/>
      <c r="S95" s="503"/>
      <c r="T95" s="503"/>
      <c r="U95" s="845">
        <v>100</v>
      </c>
      <c r="V95" s="887">
        <f t="shared" si="28"/>
        <v>100</v>
      </c>
      <c r="W95" s="80"/>
      <c r="X95" s="84">
        <v>3</v>
      </c>
      <c r="Y95" s="85" t="s">
        <v>114</v>
      </c>
      <c r="Z95" s="220" t="s">
        <v>91</v>
      </c>
      <c r="AA95" s="126">
        <v>8</v>
      </c>
      <c r="AB95" s="126">
        <v>8</v>
      </c>
      <c r="AC95" s="286">
        <f>SUM(AD95:AL95)</f>
        <v>8</v>
      </c>
      <c r="AD95" s="126">
        <v>1</v>
      </c>
      <c r="AE95" s="126">
        <v>1</v>
      </c>
      <c r="AF95" s="126">
        <v>1</v>
      </c>
      <c r="AG95" s="126">
        <v>0</v>
      </c>
      <c r="AH95" s="126">
        <v>1</v>
      </c>
      <c r="AI95" s="126">
        <v>1</v>
      </c>
      <c r="AJ95" s="126">
        <v>1</v>
      </c>
      <c r="AK95" s="126">
        <v>1</v>
      </c>
      <c r="AL95" s="126">
        <v>1</v>
      </c>
    </row>
    <row r="96" spans="1:38" s="74" customFormat="1" ht="18" customHeight="1">
      <c r="A96" s="843" t="s">
        <v>137</v>
      </c>
      <c r="B96" s="844" t="s">
        <v>374</v>
      </c>
      <c r="C96" s="897"/>
      <c r="D96" s="535"/>
      <c r="E96" s="535"/>
      <c r="F96" s="535"/>
      <c r="G96" s="535"/>
      <c r="H96" s="536"/>
      <c r="I96" s="536"/>
      <c r="J96" s="536"/>
      <c r="K96" s="537"/>
      <c r="L96" s="536"/>
      <c r="M96" s="536"/>
      <c r="N96" s="536"/>
      <c r="O96" s="536"/>
      <c r="P96" s="536"/>
      <c r="Q96" s="536"/>
      <c r="R96" s="536"/>
      <c r="S96" s="536"/>
      <c r="T96" s="536"/>
      <c r="U96" s="898"/>
      <c r="V96" s="898"/>
      <c r="W96" s="80"/>
      <c r="X96" s="84"/>
      <c r="Y96" s="85"/>
      <c r="Z96" s="220"/>
      <c r="AA96" s="126"/>
      <c r="AB96" s="126"/>
      <c r="AC96" s="286"/>
      <c r="AD96" s="126"/>
      <c r="AE96" s="126"/>
      <c r="AF96" s="126"/>
      <c r="AG96" s="126"/>
      <c r="AH96" s="126"/>
      <c r="AI96" s="126"/>
      <c r="AJ96" s="126"/>
      <c r="AK96" s="126"/>
      <c r="AL96" s="126"/>
    </row>
    <row r="97" spans="1:38" s="389" customFormat="1" ht="36">
      <c r="A97" s="855">
        <v>1</v>
      </c>
      <c r="B97" s="868" t="s">
        <v>375</v>
      </c>
      <c r="C97" s="899" t="s">
        <v>141</v>
      </c>
      <c r="D97" s="539">
        <v>131</v>
      </c>
      <c r="E97" s="900">
        <v>131</v>
      </c>
      <c r="F97" s="539">
        <v>20</v>
      </c>
      <c r="G97" s="538">
        <v>15</v>
      </c>
      <c r="H97" s="539">
        <f aca="true" t="shared" si="29" ref="H97:H102">SUM(I97:T97)</f>
        <v>15</v>
      </c>
      <c r="I97" s="539"/>
      <c r="J97" s="539"/>
      <c r="K97" s="539"/>
      <c r="L97" s="539">
        <v>5</v>
      </c>
      <c r="M97" s="539"/>
      <c r="N97" s="539"/>
      <c r="O97" s="539">
        <v>5</v>
      </c>
      <c r="P97" s="539"/>
      <c r="Q97" s="539">
        <v>5</v>
      </c>
      <c r="R97" s="539"/>
      <c r="S97" s="539"/>
      <c r="T97" s="539"/>
      <c r="U97" s="901">
        <f>G97/D97*100</f>
        <v>11.450381679389313</v>
      </c>
      <c r="V97" s="539">
        <f>H97/G97*100</f>
        <v>100</v>
      </c>
      <c r="X97" s="426"/>
      <c r="Y97" s="427"/>
      <c r="Z97" s="428"/>
      <c r="AA97" s="429"/>
      <c r="AB97" s="430"/>
      <c r="AC97" s="431"/>
      <c r="AD97" s="432"/>
      <c r="AE97" s="432"/>
      <c r="AF97" s="432"/>
      <c r="AG97" s="432"/>
      <c r="AH97" s="432"/>
      <c r="AI97" s="432"/>
      <c r="AJ97" s="432"/>
      <c r="AK97" s="432"/>
      <c r="AL97" s="432"/>
    </row>
    <row r="98" spans="1:38" s="389" customFormat="1" ht="36.75" customHeight="1">
      <c r="A98" s="855">
        <v>2</v>
      </c>
      <c r="B98" s="868" t="s">
        <v>376</v>
      </c>
      <c r="C98" s="899" t="s">
        <v>141</v>
      </c>
      <c r="D98" s="539">
        <v>6</v>
      </c>
      <c r="E98" s="900">
        <v>3</v>
      </c>
      <c r="F98" s="539">
        <v>2</v>
      </c>
      <c r="G98" s="538"/>
      <c r="H98" s="902"/>
      <c r="I98" s="490"/>
      <c r="J98" s="490"/>
      <c r="K98" s="490"/>
      <c r="L98" s="490"/>
      <c r="M98" s="490"/>
      <c r="N98" s="490"/>
      <c r="O98" s="490"/>
      <c r="P98" s="539"/>
      <c r="Q98" s="490"/>
      <c r="R98" s="539"/>
      <c r="S98" s="539"/>
      <c r="T98" s="540"/>
      <c r="U98" s="901"/>
      <c r="V98" s="539"/>
      <c r="X98" s="433"/>
      <c r="Y98" s="434"/>
      <c r="Z98" s="428"/>
      <c r="AA98" s="435"/>
      <c r="AB98" s="435"/>
      <c r="AC98" s="422"/>
      <c r="AD98" s="436"/>
      <c r="AE98" s="436"/>
      <c r="AF98" s="436"/>
      <c r="AG98" s="436"/>
      <c r="AH98" s="436"/>
      <c r="AI98" s="436"/>
      <c r="AJ98" s="436"/>
      <c r="AK98" s="436"/>
      <c r="AL98" s="436"/>
    </row>
    <row r="99" spans="1:38" s="389" customFormat="1" ht="24">
      <c r="A99" s="855">
        <v>3</v>
      </c>
      <c r="B99" s="868" t="s">
        <v>377</v>
      </c>
      <c r="C99" s="899" t="s">
        <v>378</v>
      </c>
      <c r="D99" s="539">
        <v>19</v>
      </c>
      <c r="E99" s="900">
        <v>81</v>
      </c>
      <c r="F99" s="539">
        <v>26</v>
      </c>
      <c r="G99" s="538">
        <v>16</v>
      </c>
      <c r="H99" s="902">
        <f t="shared" si="29"/>
        <v>16</v>
      </c>
      <c r="I99" s="490"/>
      <c r="J99" s="490"/>
      <c r="K99" s="490"/>
      <c r="L99" s="490">
        <v>6</v>
      </c>
      <c r="M99" s="490"/>
      <c r="N99" s="490"/>
      <c r="O99" s="490">
        <v>7</v>
      </c>
      <c r="P99" s="490"/>
      <c r="Q99" s="490">
        <v>3</v>
      </c>
      <c r="R99" s="490"/>
      <c r="S99" s="490"/>
      <c r="T99" s="490"/>
      <c r="U99" s="901">
        <f>G99/D99*100</f>
        <v>84.21052631578947</v>
      </c>
      <c r="V99" s="539">
        <f>H99/G99*100</f>
        <v>100</v>
      </c>
      <c r="X99" s="433"/>
      <c r="Y99" s="434"/>
      <c r="Z99" s="428"/>
      <c r="AA99" s="435"/>
      <c r="AB99" s="435"/>
      <c r="AC99" s="422"/>
      <c r="AD99" s="436"/>
      <c r="AE99" s="436"/>
      <c r="AF99" s="436"/>
      <c r="AG99" s="436"/>
      <c r="AH99" s="436"/>
      <c r="AI99" s="436"/>
      <c r="AJ99" s="436"/>
      <c r="AK99" s="436"/>
      <c r="AL99" s="436"/>
    </row>
    <row r="100" spans="1:38" s="389" customFormat="1" ht="24">
      <c r="A100" s="855">
        <v>4</v>
      </c>
      <c r="B100" s="868" t="s">
        <v>379</v>
      </c>
      <c r="C100" s="899" t="s">
        <v>378</v>
      </c>
      <c r="D100" s="539">
        <v>23</v>
      </c>
      <c r="E100" s="900">
        <v>23</v>
      </c>
      <c r="F100" s="539">
        <v>11</v>
      </c>
      <c r="G100" s="538">
        <v>12</v>
      </c>
      <c r="H100" s="902">
        <f t="shared" si="29"/>
        <v>12</v>
      </c>
      <c r="I100" s="539"/>
      <c r="J100" s="539"/>
      <c r="K100" s="539"/>
      <c r="L100" s="539">
        <v>3</v>
      </c>
      <c r="M100" s="539"/>
      <c r="N100" s="539"/>
      <c r="O100" s="539">
        <v>7</v>
      </c>
      <c r="P100" s="539"/>
      <c r="Q100" s="539">
        <v>2</v>
      </c>
      <c r="R100" s="539"/>
      <c r="S100" s="539"/>
      <c r="T100" s="539"/>
      <c r="U100" s="901">
        <f>G100/D100*100</f>
        <v>52.17391304347826</v>
      </c>
      <c r="V100" s="539">
        <f>H100/G100*100</f>
        <v>100</v>
      </c>
      <c r="X100" s="433"/>
      <c r="Y100" s="434"/>
      <c r="Z100" s="428"/>
      <c r="AA100" s="435"/>
      <c r="AB100" s="435"/>
      <c r="AC100" s="422"/>
      <c r="AD100" s="436"/>
      <c r="AE100" s="436"/>
      <c r="AF100" s="436"/>
      <c r="AG100" s="436"/>
      <c r="AH100" s="436"/>
      <c r="AI100" s="436"/>
      <c r="AJ100" s="436"/>
      <c r="AK100" s="436"/>
      <c r="AL100" s="436"/>
    </row>
    <row r="101" spans="1:38" s="389" customFormat="1" ht="24">
      <c r="A101" s="855">
        <v>5</v>
      </c>
      <c r="B101" s="868" t="s">
        <v>380</v>
      </c>
      <c r="C101" s="899" t="s">
        <v>378</v>
      </c>
      <c r="D101" s="539">
        <v>37</v>
      </c>
      <c r="E101" s="900">
        <v>46</v>
      </c>
      <c r="F101" s="539">
        <v>32</v>
      </c>
      <c r="G101" s="538">
        <v>33</v>
      </c>
      <c r="H101" s="902">
        <f t="shared" si="29"/>
        <v>33</v>
      </c>
      <c r="I101" s="539"/>
      <c r="J101" s="539"/>
      <c r="K101" s="539"/>
      <c r="L101" s="539">
        <v>12</v>
      </c>
      <c r="M101" s="539"/>
      <c r="N101" s="539"/>
      <c r="O101" s="539">
        <v>12</v>
      </c>
      <c r="P101" s="539"/>
      <c r="Q101" s="539">
        <v>9</v>
      </c>
      <c r="R101" s="539"/>
      <c r="S101" s="539"/>
      <c r="T101" s="218"/>
      <c r="U101" s="901">
        <f>G101/D101*100</f>
        <v>89.1891891891892</v>
      </c>
      <c r="V101" s="539">
        <f>H101/G101*100</f>
        <v>100</v>
      </c>
      <c r="X101" s="437"/>
      <c r="Y101" s="437"/>
      <c r="Z101" s="437"/>
      <c r="AA101" s="437"/>
      <c r="AB101" s="437"/>
      <c r="AC101" s="437"/>
      <c r="AD101" s="437"/>
      <c r="AE101" s="437"/>
      <c r="AF101" s="437"/>
      <c r="AG101" s="437"/>
      <c r="AH101" s="437"/>
      <c r="AI101" s="437"/>
      <c r="AJ101" s="437"/>
      <c r="AK101" s="437"/>
      <c r="AL101" s="437"/>
    </row>
    <row r="102" spans="1:38" s="389" customFormat="1" ht="36">
      <c r="A102" s="855">
        <v>6</v>
      </c>
      <c r="B102" s="868" t="s">
        <v>381</v>
      </c>
      <c r="C102" s="899" t="s">
        <v>378</v>
      </c>
      <c r="D102" s="539">
        <v>23</v>
      </c>
      <c r="E102" s="900">
        <v>23</v>
      </c>
      <c r="F102" s="539">
        <v>13</v>
      </c>
      <c r="G102" s="538">
        <v>14</v>
      </c>
      <c r="H102" s="902">
        <f t="shared" si="29"/>
        <v>14</v>
      </c>
      <c r="I102" s="539"/>
      <c r="J102" s="539"/>
      <c r="K102" s="539"/>
      <c r="L102" s="539">
        <v>5</v>
      </c>
      <c r="M102" s="539"/>
      <c r="N102" s="539"/>
      <c r="O102" s="539">
        <v>7</v>
      </c>
      <c r="P102" s="539"/>
      <c r="Q102" s="539">
        <v>2</v>
      </c>
      <c r="R102" s="539"/>
      <c r="S102" s="539"/>
      <c r="T102" s="218"/>
      <c r="U102" s="901">
        <f>G102/D102*100</f>
        <v>60.86956521739131</v>
      </c>
      <c r="V102" s="539">
        <f>H102/G102*100</f>
        <v>100</v>
      </c>
      <c r="X102" s="437"/>
      <c r="Y102" s="437"/>
      <c r="Z102" s="437"/>
      <c r="AA102" s="437"/>
      <c r="AB102" s="437"/>
      <c r="AC102" s="437"/>
      <c r="AD102" s="437"/>
      <c r="AE102" s="437"/>
      <c r="AF102" s="437"/>
      <c r="AG102" s="437"/>
      <c r="AH102" s="437"/>
      <c r="AI102" s="437"/>
      <c r="AJ102" s="437"/>
      <c r="AK102" s="437"/>
      <c r="AL102" s="437"/>
    </row>
    <row r="103" spans="1:38" s="224" customFormat="1" ht="24">
      <c r="A103" s="903" t="s">
        <v>322</v>
      </c>
      <c r="B103" s="221" t="s">
        <v>382</v>
      </c>
      <c r="C103" s="222"/>
      <c r="D103" s="539"/>
      <c r="E103" s="900"/>
      <c r="F103" s="539"/>
      <c r="G103" s="539"/>
      <c r="H103" s="904"/>
      <c r="I103" s="532"/>
      <c r="J103" s="532"/>
      <c r="K103" s="905"/>
      <c r="L103" s="532"/>
      <c r="M103" s="532"/>
      <c r="N103" s="532"/>
      <c r="O103" s="532"/>
      <c r="P103" s="532"/>
      <c r="Q103" s="532"/>
      <c r="R103" s="532"/>
      <c r="S103" s="532"/>
      <c r="T103" s="532"/>
      <c r="U103" s="223"/>
      <c r="V103" s="223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</row>
    <row r="104" spans="1:38" s="81" customFormat="1" ht="24">
      <c r="A104" s="855">
        <v>1</v>
      </c>
      <c r="B104" s="906" t="s">
        <v>383</v>
      </c>
      <c r="C104" s="899" t="s">
        <v>13</v>
      </c>
      <c r="D104" s="907">
        <v>99.5</v>
      </c>
      <c r="E104" s="908">
        <v>99.5</v>
      </c>
      <c r="F104" s="907">
        <v>99.9</v>
      </c>
      <c r="G104" s="556">
        <v>99.5</v>
      </c>
      <c r="H104" s="909">
        <v>99.5</v>
      </c>
      <c r="I104" s="910">
        <v>100</v>
      </c>
      <c r="J104" s="910">
        <v>100</v>
      </c>
      <c r="K104" s="911">
        <v>100</v>
      </c>
      <c r="L104" s="911">
        <v>100</v>
      </c>
      <c r="M104" s="911">
        <v>100</v>
      </c>
      <c r="N104" s="911">
        <v>100</v>
      </c>
      <c r="O104" s="911">
        <v>99</v>
      </c>
      <c r="P104" s="911">
        <v>99</v>
      </c>
      <c r="Q104" s="911">
        <v>99</v>
      </c>
      <c r="R104" s="911">
        <v>99</v>
      </c>
      <c r="S104" s="911">
        <v>99</v>
      </c>
      <c r="T104" s="911">
        <v>99</v>
      </c>
      <c r="U104" s="898"/>
      <c r="V104" s="898"/>
      <c r="X104" s="219"/>
      <c r="Y104" s="219"/>
      <c r="Z104" s="219"/>
      <c r="AA104" s="219"/>
      <c r="AB104" s="219"/>
      <c r="AC104" s="219"/>
      <c r="AD104" s="219"/>
      <c r="AE104" s="219"/>
      <c r="AF104" s="219"/>
      <c r="AG104" s="219"/>
      <c r="AH104" s="219"/>
      <c r="AI104" s="219"/>
      <c r="AJ104" s="219"/>
      <c r="AK104" s="219"/>
      <c r="AL104" s="219"/>
    </row>
    <row r="105" spans="1:22" s="81" customFormat="1" ht="24">
      <c r="A105" s="855">
        <v>2</v>
      </c>
      <c r="B105" s="906" t="s">
        <v>384</v>
      </c>
      <c r="C105" s="899" t="s">
        <v>13</v>
      </c>
      <c r="D105" s="907">
        <v>99.8</v>
      </c>
      <c r="E105" s="912">
        <v>99.6</v>
      </c>
      <c r="F105" s="907">
        <v>99.2</v>
      </c>
      <c r="G105" s="556">
        <v>99.7</v>
      </c>
      <c r="H105" s="913">
        <v>99.8</v>
      </c>
      <c r="I105" s="914">
        <v>100</v>
      </c>
      <c r="J105" s="914">
        <v>100</v>
      </c>
      <c r="K105" s="915">
        <v>100</v>
      </c>
      <c r="L105" s="915">
        <v>100</v>
      </c>
      <c r="M105" s="915">
        <v>100</v>
      </c>
      <c r="N105" s="915">
        <v>100</v>
      </c>
      <c r="O105" s="915">
        <v>100</v>
      </c>
      <c r="P105" s="913">
        <v>99.5</v>
      </c>
      <c r="Q105" s="913">
        <v>99.5</v>
      </c>
      <c r="R105" s="913">
        <v>99.5</v>
      </c>
      <c r="S105" s="913">
        <v>99.5</v>
      </c>
      <c r="T105" s="913">
        <v>99.5</v>
      </c>
      <c r="U105" s="864">
        <f>G105-D105</f>
        <v>-0.09999999999999432</v>
      </c>
      <c r="V105" s="898">
        <f>H105-G105</f>
        <v>0.09999999999999432</v>
      </c>
    </row>
    <row r="106" spans="1:22" s="81" customFormat="1" ht="24">
      <c r="A106" s="855">
        <v>3</v>
      </c>
      <c r="B106" s="906" t="s">
        <v>385</v>
      </c>
      <c r="C106" s="899" t="s">
        <v>13</v>
      </c>
      <c r="D106" s="539">
        <v>90</v>
      </c>
      <c r="E106" s="916">
        <v>90</v>
      </c>
      <c r="F106" s="907">
        <v>87.3</v>
      </c>
      <c r="G106" s="556">
        <v>90.8</v>
      </c>
      <c r="H106" s="917">
        <v>94</v>
      </c>
      <c r="I106" s="918">
        <v>100</v>
      </c>
      <c r="J106" s="919">
        <v>94.5</v>
      </c>
      <c r="K106" s="920">
        <v>90.5</v>
      </c>
      <c r="L106" s="921">
        <v>94</v>
      </c>
      <c r="M106" s="921">
        <v>99</v>
      </c>
      <c r="N106" s="917">
        <v>99</v>
      </c>
      <c r="O106" s="921">
        <v>82</v>
      </c>
      <c r="P106" s="921">
        <v>92</v>
      </c>
      <c r="Q106" s="921">
        <v>90</v>
      </c>
      <c r="R106" s="921">
        <v>85</v>
      </c>
      <c r="S106" s="921">
        <v>84</v>
      </c>
      <c r="T106" s="921">
        <v>80</v>
      </c>
      <c r="U106" s="898">
        <f>G106-D106</f>
        <v>0.7999999999999972</v>
      </c>
      <c r="V106" s="898">
        <f>H106-G106</f>
        <v>3.200000000000003</v>
      </c>
    </row>
    <row r="107" spans="1:22" s="81" customFormat="1" ht="24">
      <c r="A107" s="855">
        <v>4</v>
      </c>
      <c r="B107" s="906" t="s">
        <v>386</v>
      </c>
      <c r="C107" s="899" t="s">
        <v>13</v>
      </c>
      <c r="D107" s="539">
        <v>86</v>
      </c>
      <c r="E107" s="916">
        <v>86</v>
      </c>
      <c r="F107" s="907">
        <v>83.6</v>
      </c>
      <c r="G107" s="554">
        <v>86</v>
      </c>
      <c r="H107" s="922">
        <v>85</v>
      </c>
      <c r="I107" s="923">
        <v>100</v>
      </c>
      <c r="J107" s="923">
        <v>94</v>
      </c>
      <c r="K107" s="922">
        <v>80</v>
      </c>
      <c r="L107" s="922">
        <v>92</v>
      </c>
      <c r="M107" s="922">
        <v>99</v>
      </c>
      <c r="N107" s="922">
        <v>97</v>
      </c>
      <c r="O107" s="922">
        <v>65</v>
      </c>
      <c r="P107" s="922">
        <v>90</v>
      </c>
      <c r="Q107" s="922">
        <v>76</v>
      </c>
      <c r="R107" s="922">
        <v>80</v>
      </c>
      <c r="S107" s="922">
        <v>80</v>
      </c>
      <c r="T107" s="922">
        <v>67</v>
      </c>
      <c r="U107" s="898"/>
      <c r="V107" s="886">
        <f>H107-G107</f>
        <v>-1</v>
      </c>
    </row>
    <row r="108" spans="1:22" s="81" customFormat="1" ht="36" customHeight="1">
      <c r="A108" s="855">
        <v>5</v>
      </c>
      <c r="B108" s="906" t="s">
        <v>387</v>
      </c>
      <c r="C108" s="899" t="s">
        <v>13</v>
      </c>
      <c r="D108" s="539">
        <v>48</v>
      </c>
      <c r="E108" s="916">
        <v>48</v>
      </c>
      <c r="F108" s="218"/>
      <c r="G108" s="554">
        <v>48</v>
      </c>
      <c r="H108" s="922">
        <v>48</v>
      </c>
      <c r="I108" s="923">
        <v>49</v>
      </c>
      <c r="J108" s="923">
        <v>50</v>
      </c>
      <c r="K108" s="922">
        <v>49</v>
      </c>
      <c r="L108" s="922">
        <v>47</v>
      </c>
      <c r="M108" s="922">
        <v>48</v>
      </c>
      <c r="N108" s="922">
        <v>48</v>
      </c>
      <c r="O108" s="922">
        <v>51</v>
      </c>
      <c r="P108" s="922">
        <v>49</v>
      </c>
      <c r="Q108" s="922">
        <v>51</v>
      </c>
      <c r="R108" s="922">
        <v>41</v>
      </c>
      <c r="S108" s="922">
        <v>43</v>
      </c>
      <c r="T108" s="922">
        <v>50</v>
      </c>
      <c r="U108" s="898"/>
      <c r="V108" s="898"/>
    </row>
  </sheetData>
  <sheetProtection/>
  <mergeCells count="25">
    <mergeCell ref="U6:U7"/>
    <mergeCell ref="V6:V7"/>
    <mergeCell ref="X5:X7"/>
    <mergeCell ref="AC5:AC7"/>
    <mergeCell ref="AD5:AL5"/>
    <mergeCell ref="Y5:Y7"/>
    <mergeCell ref="Z5:Z7"/>
    <mergeCell ref="AA5:AA7"/>
    <mergeCell ref="AB5:AB7"/>
    <mergeCell ref="A1:B1"/>
    <mergeCell ref="A2:V2"/>
    <mergeCell ref="A3:V3"/>
    <mergeCell ref="D4:V4"/>
    <mergeCell ref="D5:D7"/>
    <mergeCell ref="U5:V5"/>
    <mergeCell ref="A5:A7"/>
    <mergeCell ref="B5:B7"/>
    <mergeCell ref="C5:C7"/>
    <mergeCell ref="I6:T6"/>
    <mergeCell ref="H6:H7"/>
    <mergeCell ref="E6:E7"/>
    <mergeCell ref="F6:F7"/>
    <mergeCell ref="G6:G7"/>
    <mergeCell ref="E5:G5"/>
    <mergeCell ref="H5:T5"/>
  </mergeCells>
  <printOptions/>
  <pageMargins left="0.5905511811023623" right="0.3937007874015748" top="0.61" bottom="0.984251968503937" header="0.1968503937007874" footer="0.1968503937007874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3"/>
  <sheetViews>
    <sheetView zoomScalePageLayoutView="0" workbookViewId="0" topLeftCell="A47">
      <selection activeCell="I79" sqref="I79"/>
    </sheetView>
  </sheetViews>
  <sheetFormatPr defaultColWidth="9.140625" defaultRowHeight="12.75"/>
  <cols>
    <col min="1" max="1" width="5.140625" style="706" customWidth="1"/>
    <col min="2" max="2" width="53.140625" style="707" customWidth="1"/>
    <col min="3" max="3" width="12.28125" style="706" customWidth="1"/>
    <col min="4" max="5" width="10.140625" style="706" customWidth="1"/>
    <col min="6" max="6" width="10.8515625" style="706" hidden="1" customWidth="1"/>
    <col min="7" max="7" width="10.8515625" style="706" customWidth="1"/>
    <col min="8" max="8" width="13.140625" style="706" customWidth="1"/>
    <col min="9" max="9" width="12.8515625" style="708" customWidth="1"/>
    <col min="10" max="10" width="15.7109375" style="706" customWidth="1"/>
    <col min="11" max="11" width="13.7109375" style="706" customWidth="1"/>
    <col min="12" max="12" width="13.00390625" style="636" customWidth="1"/>
    <col min="13" max="16384" width="9.140625" style="636" customWidth="1"/>
  </cols>
  <sheetData>
    <row r="1" spans="1:11" ht="16.5">
      <c r="A1" s="765" t="s">
        <v>633</v>
      </c>
      <c r="B1" s="765"/>
      <c r="C1" s="634"/>
      <c r="D1" s="634"/>
      <c r="E1" s="634"/>
      <c r="F1" s="634"/>
      <c r="G1" s="634"/>
      <c r="H1" s="634"/>
      <c r="I1" s="635"/>
      <c r="J1" s="634"/>
      <c r="K1" s="634"/>
    </row>
    <row r="2" spans="1:12" s="638" customFormat="1" ht="18.75">
      <c r="A2" s="766" t="s">
        <v>620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637"/>
    </row>
    <row r="3" spans="1:12" s="638" customFormat="1" ht="18.75" customHeight="1">
      <c r="A3" s="754" t="str">
        <f>'Bieu 4 SN GĐT'!A3:V3</f>
        <v>(Kèm theo Kế hoạch số:              /KH-UBND ngày     /    /2023 của UBND huyện Tủa Chùa)</v>
      </c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639"/>
    </row>
    <row r="4" spans="1:11" ht="15">
      <c r="A4" s="640"/>
      <c r="B4" s="641"/>
      <c r="C4" s="640"/>
      <c r="D4" s="640"/>
      <c r="E4" s="642"/>
      <c r="F4" s="642"/>
      <c r="G4" s="642"/>
      <c r="H4" s="642"/>
      <c r="I4" s="643"/>
      <c r="J4" s="642"/>
      <c r="K4" s="642"/>
    </row>
    <row r="5" spans="1:11" s="644" customFormat="1" ht="16.5" customHeight="1">
      <c r="A5" s="767" t="s">
        <v>5</v>
      </c>
      <c r="B5" s="767" t="s">
        <v>166</v>
      </c>
      <c r="C5" s="767" t="s">
        <v>115</v>
      </c>
      <c r="D5" s="770" t="s">
        <v>664</v>
      </c>
      <c r="E5" s="773" t="s">
        <v>639</v>
      </c>
      <c r="F5" s="774"/>
      <c r="G5" s="774"/>
      <c r="H5" s="775"/>
      <c r="I5" s="755" t="s">
        <v>665</v>
      </c>
      <c r="J5" s="758" t="s">
        <v>2</v>
      </c>
      <c r="K5" s="758"/>
    </row>
    <row r="6" spans="1:11" s="644" customFormat="1" ht="16.5" customHeight="1">
      <c r="A6" s="768"/>
      <c r="B6" s="768"/>
      <c r="C6" s="768"/>
      <c r="D6" s="771"/>
      <c r="E6" s="759" t="s">
        <v>531</v>
      </c>
      <c r="F6" s="759" t="s">
        <v>354</v>
      </c>
      <c r="G6" s="763" t="s">
        <v>634</v>
      </c>
      <c r="H6" s="759" t="s">
        <v>621</v>
      </c>
      <c r="I6" s="756"/>
      <c r="J6" s="761" t="s">
        <v>641</v>
      </c>
      <c r="K6" s="761" t="s">
        <v>642</v>
      </c>
    </row>
    <row r="7" spans="1:11" s="644" customFormat="1" ht="55.5" customHeight="1">
      <c r="A7" s="769"/>
      <c r="B7" s="769"/>
      <c r="C7" s="769"/>
      <c r="D7" s="772"/>
      <c r="E7" s="760"/>
      <c r="F7" s="760"/>
      <c r="G7" s="759"/>
      <c r="H7" s="760"/>
      <c r="I7" s="757"/>
      <c r="J7" s="762"/>
      <c r="K7" s="762"/>
    </row>
    <row r="8" spans="1:11" s="647" customFormat="1" ht="20.25" customHeight="1">
      <c r="A8" s="549" t="s">
        <v>167</v>
      </c>
      <c r="B8" s="645" t="s">
        <v>116</v>
      </c>
      <c r="C8" s="549"/>
      <c r="D8" s="549"/>
      <c r="E8" s="549"/>
      <c r="F8" s="549"/>
      <c r="G8" s="549"/>
      <c r="H8" s="549"/>
      <c r="I8" s="646"/>
      <c r="J8" s="549"/>
      <c r="K8" s="549"/>
    </row>
    <row r="9" spans="1:11" s="561" customFormat="1" ht="20.25" customHeight="1">
      <c r="A9" s="552">
        <v>1</v>
      </c>
      <c r="B9" s="648" t="s">
        <v>560</v>
      </c>
      <c r="C9" s="552" t="s">
        <v>13</v>
      </c>
      <c r="D9" s="553">
        <v>95.6</v>
      </c>
      <c r="E9" s="553">
        <v>95.6</v>
      </c>
      <c r="F9" s="553">
        <v>44.2</v>
      </c>
      <c r="G9" s="553">
        <v>34.1</v>
      </c>
      <c r="H9" s="550">
        <v>95</v>
      </c>
      <c r="I9" s="553">
        <v>95.1</v>
      </c>
      <c r="J9" s="558">
        <f>H9-D9</f>
        <v>-0.5999999999999943</v>
      </c>
      <c r="K9" s="558">
        <f>I9-H9</f>
        <v>0.09999999999999432</v>
      </c>
    </row>
    <row r="10" spans="1:11" s="561" customFormat="1" ht="18" customHeight="1">
      <c r="A10" s="552">
        <v>2</v>
      </c>
      <c r="B10" s="648" t="s">
        <v>580</v>
      </c>
      <c r="C10" s="552" t="s">
        <v>13</v>
      </c>
      <c r="D10" s="552">
        <v>70.2</v>
      </c>
      <c r="E10" s="552">
        <v>73</v>
      </c>
      <c r="F10" s="558">
        <v>57.4</v>
      </c>
      <c r="G10" s="558">
        <v>73.7</v>
      </c>
      <c r="H10" s="552">
        <v>73.8</v>
      </c>
      <c r="I10" s="552">
        <v>73.8</v>
      </c>
      <c r="J10" s="558">
        <f aca="true" t="shared" si="0" ref="J10:J18">H10-D10</f>
        <v>3.5999999999999943</v>
      </c>
      <c r="K10" s="558"/>
    </row>
    <row r="11" spans="1:11" s="561" customFormat="1" ht="33.75" customHeight="1">
      <c r="A11" s="649" t="s">
        <v>337</v>
      </c>
      <c r="B11" s="648" t="s">
        <v>594</v>
      </c>
      <c r="C11" s="552" t="s">
        <v>13</v>
      </c>
      <c r="D11" s="552">
        <v>70</v>
      </c>
      <c r="E11" s="650">
        <v>71</v>
      </c>
      <c r="F11" s="558">
        <v>57.3</v>
      </c>
      <c r="G11" s="558">
        <v>73.2</v>
      </c>
      <c r="H11" s="552">
        <v>73.1</v>
      </c>
      <c r="I11" s="552">
        <v>73.1</v>
      </c>
      <c r="J11" s="558">
        <f t="shared" si="0"/>
        <v>3.0999999999999943</v>
      </c>
      <c r="K11" s="558"/>
    </row>
    <row r="12" spans="1:11" s="561" customFormat="1" ht="20.25" customHeight="1">
      <c r="A12" s="552">
        <v>3</v>
      </c>
      <c r="B12" s="648" t="s">
        <v>479</v>
      </c>
      <c r="C12" s="552" t="s">
        <v>13</v>
      </c>
      <c r="D12" s="552">
        <v>94.1</v>
      </c>
      <c r="E12" s="552">
        <v>95</v>
      </c>
      <c r="F12" s="552">
        <v>41.6</v>
      </c>
      <c r="G12" s="552">
        <v>47.1</v>
      </c>
      <c r="H12" s="553">
        <v>94.1</v>
      </c>
      <c r="I12" s="550">
        <v>95</v>
      </c>
      <c r="J12" s="558"/>
      <c r="K12" s="558">
        <f>I12-H12</f>
        <v>0.9000000000000057</v>
      </c>
    </row>
    <row r="13" spans="1:11" s="561" customFormat="1" ht="20.25" customHeight="1">
      <c r="A13" s="552">
        <v>4</v>
      </c>
      <c r="B13" s="648" t="s">
        <v>571</v>
      </c>
      <c r="C13" s="552" t="s">
        <v>13</v>
      </c>
      <c r="D13" s="552">
        <v>66.1</v>
      </c>
      <c r="E13" s="552">
        <v>67</v>
      </c>
      <c r="F13" s="552">
        <v>58.9</v>
      </c>
      <c r="G13" s="552">
        <v>93</v>
      </c>
      <c r="H13" s="550">
        <v>92</v>
      </c>
      <c r="I13" s="550">
        <v>93</v>
      </c>
      <c r="J13" s="558">
        <f t="shared" si="0"/>
        <v>25.900000000000006</v>
      </c>
      <c r="K13" s="650">
        <f>I13-H13</f>
        <v>1</v>
      </c>
    </row>
    <row r="14" spans="1:11" s="561" customFormat="1" ht="33.75" customHeight="1">
      <c r="A14" s="651">
        <v>5</v>
      </c>
      <c r="B14" s="648" t="s">
        <v>572</v>
      </c>
      <c r="C14" s="552" t="s">
        <v>13</v>
      </c>
      <c r="D14" s="552">
        <v>100</v>
      </c>
      <c r="E14" s="552">
        <v>100</v>
      </c>
      <c r="F14" s="552">
        <v>100</v>
      </c>
      <c r="G14" s="552">
        <v>100</v>
      </c>
      <c r="H14" s="552">
        <v>100</v>
      </c>
      <c r="I14" s="552">
        <v>100</v>
      </c>
      <c r="J14" s="558"/>
      <c r="K14" s="652"/>
    </row>
    <row r="15" spans="1:11" s="561" customFormat="1" ht="21.75" customHeight="1">
      <c r="A15" s="552">
        <v>6</v>
      </c>
      <c r="B15" s="648" t="s">
        <v>559</v>
      </c>
      <c r="C15" s="552" t="s">
        <v>117</v>
      </c>
      <c r="D15" s="552">
        <v>65.6</v>
      </c>
      <c r="E15" s="552">
        <v>48.1</v>
      </c>
      <c r="F15" s="552">
        <v>95.4</v>
      </c>
      <c r="G15" s="552">
        <v>44.1</v>
      </c>
      <c r="H15" s="552">
        <v>44.1</v>
      </c>
      <c r="I15" s="552">
        <v>37.5</v>
      </c>
      <c r="J15" s="558">
        <f t="shared" si="0"/>
        <v>-21.499999999999993</v>
      </c>
      <c r="K15" s="558">
        <f>I15-H15</f>
        <v>-6.600000000000001</v>
      </c>
    </row>
    <row r="16" spans="1:11" s="561" customFormat="1" ht="33" customHeight="1">
      <c r="A16" s="552"/>
      <c r="B16" s="648" t="s">
        <v>510</v>
      </c>
      <c r="C16" s="552" t="s">
        <v>117</v>
      </c>
      <c r="D16" s="553">
        <v>72.1</v>
      </c>
      <c r="E16" s="552">
        <v>51.6</v>
      </c>
      <c r="F16" s="552">
        <v>101.4</v>
      </c>
      <c r="G16" s="552">
        <v>45.4</v>
      </c>
      <c r="H16" s="553">
        <v>45.4</v>
      </c>
      <c r="I16" s="553">
        <v>40.2</v>
      </c>
      <c r="J16" s="558">
        <f t="shared" si="0"/>
        <v>-26.699999999999996</v>
      </c>
      <c r="K16" s="558">
        <f>I16-H16</f>
        <v>-5.199999999999996</v>
      </c>
    </row>
    <row r="17" spans="1:11" s="561" customFormat="1" ht="20.25" customHeight="1">
      <c r="A17" s="552">
        <v>7</v>
      </c>
      <c r="B17" s="648" t="s">
        <v>511</v>
      </c>
      <c r="C17" s="552" t="s">
        <v>117</v>
      </c>
      <c r="D17" s="552">
        <v>70.8</v>
      </c>
      <c r="E17" s="552">
        <v>50.1</v>
      </c>
      <c r="F17" s="552">
        <v>102</v>
      </c>
      <c r="G17" s="552">
        <v>46.9</v>
      </c>
      <c r="H17" s="553">
        <v>46.9</v>
      </c>
      <c r="I17" s="551" t="s">
        <v>688</v>
      </c>
      <c r="J17" s="558">
        <f t="shared" si="0"/>
        <v>-23.9</v>
      </c>
      <c r="K17" s="558">
        <f>I17-H17</f>
        <v>-8.199999999999996</v>
      </c>
    </row>
    <row r="18" spans="1:11" s="561" customFormat="1" ht="39" customHeight="1">
      <c r="A18" s="552"/>
      <c r="B18" s="648" t="s">
        <v>512</v>
      </c>
      <c r="C18" s="552" t="s">
        <v>117</v>
      </c>
      <c r="D18" s="552">
        <v>72.1</v>
      </c>
      <c r="E18" s="552">
        <v>51.6</v>
      </c>
      <c r="F18" s="552">
        <v>106.2</v>
      </c>
      <c r="G18" s="552">
        <v>48.2</v>
      </c>
      <c r="H18" s="552">
        <v>48.2</v>
      </c>
      <c r="I18" s="553">
        <v>44.5</v>
      </c>
      <c r="J18" s="558">
        <f t="shared" si="0"/>
        <v>-23.89999999999999</v>
      </c>
      <c r="K18" s="558">
        <f>I18-H18</f>
        <v>-3.700000000000003</v>
      </c>
    </row>
    <row r="19" spans="1:11" s="561" customFormat="1" ht="20.25" customHeight="1">
      <c r="A19" s="552">
        <v>8</v>
      </c>
      <c r="B19" s="648" t="s">
        <v>666</v>
      </c>
      <c r="C19" s="552" t="s">
        <v>667</v>
      </c>
      <c r="D19" s="552"/>
      <c r="E19" s="552"/>
      <c r="F19" s="553"/>
      <c r="G19" s="558"/>
      <c r="H19" s="552"/>
      <c r="I19" s="653"/>
      <c r="J19" s="553"/>
      <c r="K19" s="558"/>
    </row>
    <row r="20" spans="1:11" s="561" customFormat="1" ht="18.75" customHeight="1">
      <c r="A20" s="552"/>
      <c r="B20" s="648" t="s">
        <v>668</v>
      </c>
      <c r="C20" s="552" t="s">
        <v>667</v>
      </c>
      <c r="D20" s="552"/>
      <c r="E20" s="552"/>
      <c r="F20" s="553"/>
      <c r="G20" s="558"/>
      <c r="H20" s="552"/>
      <c r="I20" s="653"/>
      <c r="J20" s="553"/>
      <c r="K20" s="558"/>
    </row>
    <row r="21" spans="1:11" s="561" customFormat="1" ht="20.25" customHeight="1">
      <c r="A21" s="552">
        <v>9</v>
      </c>
      <c r="B21" s="648" t="s">
        <v>118</v>
      </c>
      <c r="C21" s="552" t="s">
        <v>13</v>
      </c>
      <c r="D21" s="552">
        <v>3.6</v>
      </c>
      <c r="E21" s="552">
        <v>3.2</v>
      </c>
      <c r="F21" s="552">
        <v>2.2</v>
      </c>
      <c r="G21" s="552">
        <v>2.6</v>
      </c>
      <c r="H21" s="552">
        <v>2.1</v>
      </c>
      <c r="I21" s="552">
        <v>1.9</v>
      </c>
      <c r="J21" s="553">
        <f>H21-D21</f>
        <v>-1.5</v>
      </c>
      <c r="K21" s="558">
        <f aca="true" t="shared" si="1" ref="K21:K27">I21-H21</f>
        <v>-0.20000000000000018</v>
      </c>
    </row>
    <row r="22" spans="1:11" s="561" customFormat="1" ht="20.25" customHeight="1">
      <c r="A22" s="552">
        <v>10</v>
      </c>
      <c r="B22" s="648" t="s">
        <v>388</v>
      </c>
      <c r="C22" s="552" t="s">
        <v>13</v>
      </c>
      <c r="D22" s="552">
        <v>45.3</v>
      </c>
      <c r="E22" s="550">
        <v>47</v>
      </c>
      <c r="F22" s="552">
        <v>43.1</v>
      </c>
      <c r="G22" s="552">
        <v>44.6</v>
      </c>
      <c r="H22" s="553">
        <v>44.6</v>
      </c>
      <c r="I22" s="553">
        <v>45.1</v>
      </c>
      <c r="J22" s="553">
        <f>H22-D22</f>
        <v>-0.6999999999999957</v>
      </c>
      <c r="K22" s="558">
        <f t="shared" si="1"/>
        <v>0.5</v>
      </c>
    </row>
    <row r="23" spans="1:11" s="561" customFormat="1" ht="20.25" customHeight="1">
      <c r="A23" s="552">
        <v>11</v>
      </c>
      <c r="B23" s="648" t="s">
        <v>543</v>
      </c>
      <c r="C23" s="552" t="s">
        <v>13</v>
      </c>
      <c r="D23" s="552">
        <v>16.2</v>
      </c>
      <c r="E23" s="552">
        <v>16.1</v>
      </c>
      <c r="F23" s="552">
        <v>16.9</v>
      </c>
      <c r="G23" s="552">
        <v>15.5</v>
      </c>
      <c r="H23" s="552">
        <v>15.5</v>
      </c>
      <c r="I23" s="552">
        <v>15.3</v>
      </c>
      <c r="J23" s="553">
        <f>H23-D23</f>
        <v>-0.6999999999999993</v>
      </c>
      <c r="K23" s="558">
        <f t="shared" si="1"/>
        <v>-0.1999999999999993</v>
      </c>
    </row>
    <row r="24" spans="1:12" s="561" customFormat="1" ht="35.25" customHeight="1">
      <c r="A24" s="552"/>
      <c r="B24" s="648" t="s">
        <v>544</v>
      </c>
      <c r="C24" s="552" t="s">
        <v>13</v>
      </c>
      <c r="D24" s="552">
        <v>16.5</v>
      </c>
      <c r="E24" s="552">
        <v>16.3</v>
      </c>
      <c r="F24" s="552">
        <v>17.4</v>
      </c>
      <c r="G24" s="552">
        <v>15.7</v>
      </c>
      <c r="H24" s="552">
        <v>15.7</v>
      </c>
      <c r="I24" s="552">
        <v>15.5</v>
      </c>
      <c r="J24" s="553">
        <f>H24-D24</f>
        <v>-0.8000000000000007</v>
      </c>
      <c r="K24" s="558">
        <f t="shared" si="1"/>
        <v>-0.1999999999999993</v>
      </c>
      <c r="L24" s="654"/>
    </row>
    <row r="25" spans="1:17" s="561" customFormat="1" ht="32.25" customHeight="1">
      <c r="A25" s="651">
        <v>12</v>
      </c>
      <c r="B25" s="648" t="s">
        <v>545</v>
      </c>
      <c r="C25" s="552" t="s">
        <v>13</v>
      </c>
      <c r="D25" s="552">
        <v>23.7</v>
      </c>
      <c r="E25" s="552">
        <v>23.3</v>
      </c>
      <c r="F25" s="552">
        <v>24.2</v>
      </c>
      <c r="G25" s="552">
        <v>23</v>
      </c>
      <c r="H25" s="552">
        <v>23</v>
      </c>
      <c r="I25" s="552">
        <v>22</v>
      </c>
      <c r="J25" s="553">
        <f aca="true" t="shared" si="2" ref="J25:J31">H25-D25</f>
        <v>-0.6999999999999993</v>
      </c>
      <c r="K25" s="650">
        <f t="shared" si="1"/>
        <v>-1</v>
      </c>
      <c r="M25" s="764"/>
      <c r="N25" s="764"/>
      <c r="O25" s="647"/>
      <c r="P25" s="764"/>
      <c r="Q25" s="764"/>
    </row>
    <row r="26" spans="1:13" s="561" customFormat="1" ht="15" customHeight="1">
      <c r="A26" s="651"/>
      <c r="B26" s="648" t="s">
        <v>669</v>
      </c>
      <c r="C26" s="552" t="s">
        <v>13</v>
      </c>
      <c r="D26" s="552">
        <v>24.3</v>
      </c>
      <c r="E26" s="550">
        <v>24</v>
      </c>
      <c r="F26" s="552"/>
      <c r="G26" s="558">
        <v>24.5</v>
      </c>
      <c r="H26" s="552">
        <v>23.9</v>
      </c>
      <c r="I26" s="552">
        <v>23.6</v>
      </c>
      <c r="J26" s="553">
        <f t="shared" si="2"/>
        <v>-0.40000000000000213</v>
      </c>
      <c r="K26" s="558">
        <f t="shared" si="1"/>
        <v>-0.29999999999999716</v>
      </c>
      <c r="L26" s="655"/>
      <c r="M26" s="655"/>
    </row>
    <row r="27" spans="1:12" s="561" customFormat="1" ht="36.75" customHeight="1">
      <c r="A27" s="651">
        <v>13</v>
      </c>
      <c r="B27" s="648" t="s">
        <v>561</v>
      </c>
      <c r="C27" s="552" t="s">
        <v>13</v>
      </c>
      <c r="D27" s="552">
        <v>46.5</v>
      </c>
      <c r="E27" s="552">
        <v>46.8</v>
      </c>
      <c r="F27" s="552">
        <v>45.6</v>
      </c>
      <c r="G27" s="552">
        <v>46.6</v>
      </c>
      <c r="H27" s="552">
        <v>46.6</v>
      </c>
      <c r="I27" s="552">
        <v>46.8</v>
      </c>
      <c r="J27" s="553">
        <f t="shared" si="2"/>
        <v>0.10000000000000142</v>
      </c>
      <c r="K27" s="558">
        <f t="shared" si="1"/>
        <v>0.19999999999999574</v>
      </c>
      <c r="L27" s="647"/>
    </row>
    <row r="28" spans="1:14" s="561" customFormat="1" ht="20.25" customHeight="1">
      <c r="A28" s="552">
        <v>14</v>
      </c>
      <c r="B28" s="559" t="s">
        <v>670</v>
      </c>
      <c r="C28" s="552" t="s">
        <v>13</v>
      </c>
      <c r="D28" s="552">
        <v>100</v>
      </c>
      <c r="E28" s="552">
        <v>100</v>
      </c>
      <c r="F28" s="552">
        <v>100</v>
      </c>
      <c r="G28" s="552">
        <v>100</v>
      </c>
      <c r="H28" s="552">
        <v>100</v>
      </c>
      <c r="I28" s="552">
        <v>100</v>
      </c>
      <c r="J28" s="553"/>
      <c r="K28" s="652"/>
      <c r="L28" s="654"/>
      <c r="N28" s="656"/>
    </row>
    <row r="29" spans="1:11" s="561" customFormat="1" ht="20.25" customHeight="1">
      <c r="A29" s="552">
        <v>15</v>
      </c>
      <c r="B29" s="648" t="s">
        <v>389</v>
      </c>
      <c r="C29" s="552" t="s">
        <v>13</v>
      </c>
      <c r="D29" s="552">
        <v>0</v>
      </c>
      <c r="E29" s="552"/>
      <c r="F29" s="552"/>
      <c r="G29" s="552"/>
      <c r="H29" s="552"/>
      <c r="I29" s="552"/>
      <c r="J29" s="553"/>
      <c r="K29" s="652"/>
    </row>
    <row r="30" spans="1:12" s="561" customFormat="1" ht="20.25" customHeight="1">
      <c r="A30" s="552">
        <v>16</v>
      </c>
      <c r="B30" s="648" t="s">
        <v>390</v>
      </c>
      <c r="C30" s="552" t="s">
        <v>13</v>
      </c>
      <c r="D30" s="552">
        <v>59.2</v>
      </c>
      <c r="E30" s="552">
        <v>61</v>
      </c>
      <c r="F30" s="552">
        <v>51</v>
      </c>
      <c r="G30" s="552">
        <v>53.8</v>
      </c>
      <c r="H30" s="552">
        <v>53.8</v>
      </c>
      <c r="I30" s="552">
        <v>54.1</v>
      </c>
      <c r="J30" s="553">
        <f t="shared" si="2"/>
        <v>-5.400000000000006</v>
      </c>
      <c r="K30" s="558">
        <f>I30-H30</f>
        <v>0.30000000000000426</v>
      </c>
      <c r="L30" s="647"/>
    </row>
    <row r="31" spans="1:11" s="561" customFormat="1" ht="33" customHeight="1">
      <c r="A31" s="552"/>
      <c r="B31" s="648" t="s">
        <v>513</v>
      </c>
      <c r="C31" s="552" t="s">
        <v>13</v>
      </c>
      <c r="D31" s="550">
        <v>49</v>
      </c>
      <c r="E31" s="553">
        <v>49.3</v>
      </c>
      <c r="F31" s="552">
        <v>45.5</v>
      </c>
      <c r="G31" s="552">
        <v>50</v>
      </c>
      <c r="H31" s="552">
        <v>50.2</v>
      </c>
      <c r="I31" s="550">
        <v>50.5</v>
      </c>
      <c r="J31" s="553">
        <f t="shared" si="2"/>
        <v>1.2000000000000028</v>
      </c>
      <c r="K31" s="558">
        <f>I31-H31</f>
        <v>0.29999999999999716</v>
      </c>
    </row>
    <row r="32" spans="1:11" s="561" customFormat="1" ht="20.25" customHeight="1">
      <c r="A32" s="552">
        <v>17</v>
      </c>
      <c r="B32" s="648" t="s">
        <v>391</v>
      </c>
      <c r="C32" s="552"/>
      <c r="D32" s="552"/>
      <c r="E32" s="552"/>
      <c r="F32" s="552"/>
      <c r="G32" s="552"/>
      <c r="H32" s="552"/>
      <c r="I32" s="657"/>
      <c r="J32" s="544"/>
      <c r="K32" s="652"/>
    </row>
    <row r="33" spans="1:11" s="561" customFormat="1" ht="20.25" customHeight="1">
      <c r="A33" s="552"/>
      <c r="B33" s="648" t="s">
        <v>671</v>
      </c>
      <c r="C33" s="552" t="s">
        <v>119</v>
      </c>
      <c r="D33" s="552"/>
      <c r="E33" s="552"/>
      <c r="F33" s="552"/>
      <c r="G33" s="552"/>
      <c r="H33" s="552"/>
      <c r="I33" s="657"/>
      <c r="J33" s="544"/>
      <c r="K33" s="652"/>
    </row>
    <row r="34" spans="1:11" s="561" customFormat="1" ht="20.25" customHeight="1">
      <c r="A34" s="552"/>
      <c r="B34" s="648" t="s">
        <v>672</v>
      </c>
      <c r="C34" s="552" t="s">
        <v>673</v>
      </c>
      <c r="D34" s="552"/>
      <c r="E34" s="552"/>
      <c r="F34" s="552"/>
      <c r="G34" s="552"/>
      <c r="H34" s="552"/>
      <c r="I34" s="657"/>
      <c r="J34" s="544"/>
      <c r="K34" s="652"/>
    </row>
    <row r="35" spans="1:11" s="561" customFormat="1" ht="30" customHeight="1">
      <c r="A35" s="552"/>
      <c r="B35" s="648" t="s">
        <v>674</v>
      </c>
      <c r="C35" s="552" t="s">
        <v>119</v>
      </c>
      <c r="D35" s="552">
        <v>24</v>
      </c>
      <c r="E35" s="552"/>
      <c r="F35" s="552"/>
      <c r="G35" s="552"/>
      <c r="H35" s="552"/>
      <c r="I35" s="657"/>
      <c r="J35" s="544"/>
      <c r="K35" s="652"/>
    </row>
    <row r="36" spans="1:11" s="561" customFormat="1" ht="20.25" customHeight="1">
      <c r="A36" s="552"/>
      <c r="B36" s="648" t="s">
        <v>546</v>
      </c>
      <c r="C36" s="552" t="s">
        <v>119</v>
      </c>
      <c r="D36" s="552">
        <v>0.12</v>
      </c>
      <c r="E36" s="552"/>
      <c r="F36" s="552">
        <v>0.03</v>
      </c>
      <c r="G36" s="552">
        <v>0.04</v>
      </c>
      <c r="H36" s="552">
        <v>0.09</v>
      </c>
      <c r="I36" s="552">
        <v>0.08</v>
      </c>
      <c r="J36" s="544">
        <f>H36-D36</f>
        <v>-0.03</v>
      </c>
      <c r="K36" s="652">
        <f>I36-H36</f>
        <v>-0.009999999999999995</v>
      </c>
    </row>
    <row r="37" spans="1:11" s="561" customFormat="1" ht="20.25" customHeight="1">
      <c r="A37" s="552"/>
      <c r="B37" s="648" t="s">
        <v>675</v>
      </c>
      <c r="C37" s="552" t="s">
        <v>119</v>
      </c>
      <c r="D37" s="552"/>
      <c r="E37" s="552"/>
      <c r="F37" s="552"/>
      <c r="G37" s="552"/>
      <c r="H37" s="552"/>
      <c r="I37" s="657"/>
      <c r="J37" s="550"/>
      <c r="K37" s="652"/>
    </row>
    <row r="38" spans="1:14" s="561" customFormat="1" ht="33" customHeight="1">
      <c r="A38" s="552"/>
      <c r="B38" s="648" t="s">
        <v>514</v>
      </c>
      <c r="C38" s="552" t="s">
        <v>119</v>
      </c>
      <c r="D38" s="552">
        <v>24</v>
      </c>
      <c r="E38" s="552"/>
      <c r="F38" s="552">
        <v>14.1</v>
      </c>
      <c r="G38" s="552">
        <v>25.9</v>
      </c>
      <c r="H38" s="552">
        <v>25.9</v>
      </c>
      <c r="I38" s="552">
        <v>25.3</v>
      </c>
      <c r="J38" s="553">
        <f>H38-D38</f>
        <v>1.8999999999999986</v>
      </c>
      <c r="K38" s="558">
        <f>I38-H38</f>
        <v>-0.5999999999999979</v>
      </c>
      <c r="N38" s="654"/>
    </row>
    <row r="39" spans="1:11" s="561" customFormat="1" ht="20.25" customHeight="1">
      <c r="A39" s="552"/>
      <c r="B39" s="648" t="s">
        <v>581</v>
      </c>
      <c r="C39" s="552" t="s">
        <v>13</v>
      </c>
      <c r="D39" s="552">
        <v>45.3</v>
      </c>
      <c r="E39" s="550"/>
      <c r="F39" s="553">
        <v>44.9</v>
      </c>
      <c r="G39" s="553">
        <v>39.5</v>
      </c>
      <c r="H39" s="553">
        <v>39.5</v>
      </c>
      <c r="I39" s="553">
        <v>39.5</v>
      </c>
      <c r="J39" s="553"/>
      <c r="K39" s="652"/>
    </row>
    <row r="40" spans="1:11" s="647" customFormat="1" ht="20.25" customHeight="1">
      <c r="A40" s="552"/>
      <c r="B40" s="648" t="s">
        <v>392</v>
      </c>
      <c r="C40" s="552" t="s">
        <v>13</v>
      </c>
      <c r="D40" s="549"/>
      <c r="E40" s="549"/>
      <c r="F40" s="552"/>
      <c r="G40" s="552"/>
      <c r="H40" s="549"/>
      <c r="I40" s="646"/>
      <c r="J40" s="544"/>
      <c r="K40" s="652"/>
    </row>
    <row r="41" spans="1:11" s="561" customFormat="1" ht="20.25" customHeight="1">
      <c r="A41" s="552"/>
      <c r="B41" s="648" t="s">
        <v>120</v>
      </c>
      <c r="C41" s="552" t="s">
        <v>13</v>
      </c>
      <c r="D41" s="549"/>
      <c r="E41" s="549"/>
      <c r="F41" s="549"/>
      <c r="G41" s="549"/>
      <c r="H41" s="549"/>
      <c r="I41" s="646"/>
      <c r="J41" s="544"/>
      <c r="K41" s="652"/>
    </row>
    <row r="42" spans="1:11" s="561" customFormat="1" ht="20.25" customHeight="1">
      <c r="A42" s="552"/>
      <c r="B42" s="648" t="s">
        <v>676</v>
      </c>
      <c r="C42" s="552" t="s">
        <v>13</v>
      </c>
      <c r="D42" s="549"/>
      <c r="E42" s="549"/>
      <c r="F42" s="549"/>
      <c r="G42" s="549"/>
      <c r="H42" s="549"/>
      <c r="I42" s="646"/>
      <c r="J42" s="544"/>
      <c r="K42" s="652"/>
    </row>
    <row r="43" spans="1:11" s="561" customFormat="1" ht="20.25" customHeight="1">
      <c r="A43" s="552"/>
      <c r="B43" s="648" t="s">
        <v>121</v>
      </c>
      <c r="C43" s="552" t="s">
        <v>13</v>
      </c>
      <c r="D43" s="552">
        <v>26.3</v>
      </c>
      <c r="E43" s="552">
        <v>26.3</v>
      </c>
      <c r="F43" s="552"/>
      <c r="G43" s="552"/>
      <c r="H43" s="552">
        <v>0.39</v>
      </c>
      <c r="I43" s="552">
        <v>0.33</v>
      </c>
      <c r="J43" s="544">
        <f>H43-D43</f>
        <v>-25.91</v>
      </c>
      <c r="K43" s="558">
        <f>I43-H43</f>
        <v>-0.06</v>
      </c>
    </row>
    <row r="44" spans="1:11" s="561" customFormat="1" ht="20.25" customHeight="1">
      <c r="A44" s="552"/>
      <c r="B44" s="648" t="s">
        <v>318</v>
      </c>
      <c r="C44" s="552" t="s">
        <v>13</v>
      </c>
      <c r="D44" s="552"/>
      <c r="E44" s="552">
        <v>1</v>
      </c>
      <c r="F44" s="552"/>
      <c r="G44" s="552"/>
      <c r="H44" s="552"/>
      <c r="I44" s="657"/>
      <c r="J44" s="544"/>
      <c r="K44" s="652"/>
    </row>
    <row r="45" spans="1:11" s="561" customFormat="1" ht="20.25" customHeight="1">
      <c r="A45" s="552">
        <v>18</v>
      </c>
      <c r="B45" s="648" t="s">
        <v>677</v>
      </c>
      <c r="C45" s="552" t="s">
        <v>678</v>
      </c>
      <c r="D45" s="658">
        <v>600000</v>
      </c>
      <c r="E45" s="659">
        <v>650000</v>
      </c>
      <c r="F45" s="658"/>
      <c r="G45" s="660">
        <f>E45</f>
        <v>650000</v>
      </c>
      <c r="H45" s="660">
        <v>650000</v>
      </c>
      <c r="I45" s="660">
        <f>G45</f>
        <v>650000</v>
      </c>
      <c r="J45" s="544"/>
      <c r="K45" s="652"/>
    </row>
    <row r="46" spans="1:11" s="561" customFormat="1" ht="20.25" customHeight="1">
      <c r="A46" s="549" t="s">
        <v>172</v>
      </c>
      <c r="B46" s="661" t="s">
        <v>122</v>
      </c>
      <c r="C46" s="549"/>
      <c r="D46" s="548"/>
      <c r="E46" s="548"/>
      <c r="F46" s="548"/>
      <c r="G46" s="548"/>
      <c r="H46" s="548"/>
      <c r="I46" s="662"/>
      <c r="J46" s="544"/>
      <c r="K46" s="652"/>
    </row>
    <row r="47" spans="1:11" s="561" customFormat="1" ht="20.25" customHeight="1">
      <c r="A47" s="552"/>
      <c r="B47" s="661" t="s">
        <v>595</v>
      </c>
      <c r="C47" s="552"/>
      <c r="D47" s="548">
        <f aca="true" t="shared" si="3" ref="D47:I47">D48+D49+D53</f>
        <v>15</v>
      </c>
      <c r="E47" s="548">
        <f t="shared" si="3"/>
        <v>15</v>
      </c>
      <c r="F47" s="548">
        <f t="shared" si="3"/>
        <v>15</v>
      </c>
      <c r="G47" s="548">
        <f t="shared" si="3"/>
        <v>15</v>
      </c>
      <c r="H47" s="548">
        <f t="shared" si="3"/>
        <v>15</v>
      </c>
      <c r="I47" s="548">
        <f t="shared" si="3"/>
        <v>15</v>
      </c>
      <c r="J47" s="550">
        <v>100</v>
      </c>
      <c r="K47" s="650">
        <v>100</v>
      </c>
    </row>
    <row r="48" spans="1:11" s="561" customFormat="1" ht="20.25" customHeight="1">
      <c r="A48" s="552">
        <v>1</v>
      </c>
      <c r="B48" s="648" t="s">
        <v>422</v>
      </c>
      <c r="C48" s="552" t="s">
        <v>423</v>
      </c>
      <c r="D48" s="552">
        <v>1</v>
      </c>
      <c r="E48" s="552">
        <v>1</v>
      </c>
      <c r="F48" s="552">
        <v>1</v>
      </c>
      <c r="G48" s="552">
        <v>1</v>
      </c>
      <c r="H48" s="552">
        <v>1</v>
      </c>
      <c r="I48" s="552">
        <v>1</v>
      </c>
      <c r="J48" s="550">
        <v>100</v>
      </c>
      <c r="K48" s="550">
        <v>100</v>
      </c>
    </row>
    <row r="49" spans="1:11" s="561" customFormat="1" ht="20.25" customHeight="1">
      <c r="A49" s="552">
        <v>2</v>
      </c>
      <c r="B49" s="648" t="s">
        <v>123</v>
      </c>
      <c r="C49" s="552" t="s">
        <v>424</v>
      </c>
      <c r="D49" s="548">
        <v>2</v>
      </c>
      <c r="E49" s="548">
        <v>2</v>
      </c>
      <c r="F49" s="548">
        <v>2</v>
      </c>
      <c r="G49" s="548">
        <v>2</v>
      </c>
      <c r="H49" s="548">
        <v>2</v>
      </c>
      <c r="I49" s="548">
        <v>2</v>
      </c>
      <c r="J49" s="550">
        <v>100</v>
      </c>
      <c r="K49" s="550">
        <v>100</v>
      </c>
    </row>
    <row r="50" spans="1:11" s="647" customFormat="1" ht="20.25" customHeight="1" hidden="1">
      <c r="A50" s="552">
        <v>3</v>
      </c>
      <c r="B50" s="648" t="s">
        <v>124</v>
      </c>
      <c r="C50" s="552" t="s">
        <v>125</v>
      </c>
      <c r="D50" s="552">
        <v>1</v>
      </c>
      <c r="E50" s="552">
        <v>1</v>
      </c>
      <c r="F50" s="552">
        <v>1</v>
      </c>
      <c r="G50" s="552">
        <v>1</v>
      </c>
      <c r="H50" s="552">
        <v>1</v>
      </c>
      <c r="I50" s="552">
        <v>1</v>
      </c>
      <c r="J50" s="550">
        <v>100</v>
      </c>
      <c r="K50" s="550">
        <v>100</v>
      </c>
    </row>
    <row r="51" spans="1:11" s="647" customFormat="1" ht="20.25" customHeight="1" hidden="1">
      <c r="A51" s="552">
        <v>4</v>
      </c>
      <c r="B51" s="648" t="s">
        <v>126</v>
      </c>
      <c r="C51" s="552" t="s">
        <v>125</v>
      </c>
      <c r="D51" s="548">
        <v>1</v>
      </c>
      <c r="E51" s="548">
        <v>1</v>
      </c>
      <c r="F51" s="548">
        <v>1</v>
      </c>
      <c r="G51" s="548">
        <v>1</v>
      </c>
      <c r="H51" s="548">
        <v>1</v>
      </c>
      <c r="I51" s="548">
        <v>1</v>
      </c>
      <c r="J51" s="550">
        <v>100</v>
      </c>
      <c r="K51" s="550">
        <v>100</v>
      </c>
    </row>
    <row r="52" spans="1:13" s="561" customFormat="1" ht="20.25" customHeight="1" hidden="1">
      <c r="A52" s="552">
        <v>5</v>
      </c>
      <c r="B52" s="648" t="s">
        <v>515</v>
      </c>
      <c r="C52" s="552" t="s">
        <v>423</v>
      </c>
      <c r="D52" s="547">
        <v>1</v>
      </c>
      <c r="E52" s="547">
        <v>1</v>
      </c>
      <c r="F52" s="547">
        <v>1</v>
      </c>
      <c r="G52" s="547">
        <v>1</v>
      </c>
      <c r="H52" s="547">
        <v>1</v>
      </c>
      <c r="I52" s="547">
        <v>1</v>
      </c>
      <c r="J52" s="550">
        <v>100</v>
      </c>
      <c r="K52" s="550">
        <v>100</v>
      </c>
      <c r="L52" s="647"/>
      <c r="M52" s="655"/>
    </row>
    <row r="53" spans="1:11" s="561" customFormat="1" ht="20.25" customHeight="1">
      <c r="A53" s="552">
        <v>3</v>
      </c>
      <c r="B53" s="648" t="s">
        <v>393</v>
      </c>
      <c r="C53" s="552" t="s">
        <v>127</v>
      </c>
      <c r="D53" s="663">
        <v>12</v>
      </c>
      <c r="E53" s="663">
        <v>12</v>
      </c>
      <c r="F53" s="663">
        <v>12</v>
      </c>
      <c r="G53" s="663">
        <v>12</v>
      </c>
      <c r="H53" s="663">
        <v>12</v>
      </c>
      <c r="I53" s="663">
        <v>12</v>
      </c>
      <c r="J53" s="550">
        <v>100</v>
      </c>
      <c r="K53" s="550">
        <v>100</v>
      </c>
    </row>
    <row r="54" spans="1:11" s="561" customFormat="1" ht="20.25" customHeight="1">
      <c r="A54" s="552">
        <v>4</v>
      </c>
      <c r="B54" s="648" t="s">
        <v>394</v>
      </c>
      <c r="C54" s="552" t="s">
        <v>13</v>
      </c>
      <c r="D54" s="550">
        <v>100</v>
      </c>
      <c r="E54" s="550">
        <v>100</v>
      </c>
      <c r="F54" s="550">
        <v>100</v>
      </c>
      <c r="G54" s="550">
        <v>100</v>
      </c>
      <c r="H54" s="550">
        <v>100</v>
      </c>
      <c r="I54" s="550">
        <v>100</v>
      </c>
      <c r="J54" s="544"/>
      <c r="K54" s="652"/>
    </row>
    <row r="55" spans="1:11" s="561" customFormat="1" ht="20.25" customHeight="1">
      <c r="A55" s="549" t="s">
        <v>173</v>
      </c>
      <c r="B55" s="661" t="s">
        <v>128</v>
      </c>
      <c r="C55" s="549"/>
      <c r="D55" s="552"/>
      <c r="E55" s="552"/>
      <c r="F55" s="552"/>
      <c r="G55" s="552"/>
      <c r="H55" s="552"/>
      <c r="I55" s="657"/>
      <c r="J55" s="544"/>
      <c r="K55" s="652"/>
    </row>
    <row r="56" spans="1:11" s="647" customFormat="1" ht="20.25" customHeight="1">
      <c r="A56" s="549"/>
      <c r="B56" s="661" t="s">
        <v>395</v>
      </c>
      <c r="C56" s="549" t="s">
        <v>129</v>
      </c>
      <c r="D56" s="549">
        <f>D59+D62</f>
        <v>186</v>
      </c>
      <c r="E56" s="546">
        <f>E59+E62</f>
        <v>196</v>
      </c>
      <c r="F56" s="546">
        <f>F59+F62</f>
        <v>196</v>
      </c>
      <c r="G56" s="546">
        <f>G59+G62</f>
        <v>186</v>
      </c>
      <c r="H56" s="549">
        <v>186</v>
      </c>
      <c r="I56" s="549">
        <v>196</v>
      </c>
      <c r="J56" s="546">
        <f>H56/D56*100</f>
        <v>100</v>
      </c>
      <c r="K56" s="664">
        <f>I56/H56*100</f>
        <v>105.3763440860215</v>
      </c>
    </row>
    <row r="57" spans="1:11" s="647" customFormat="1" ht="20.25" customHeight="1">
      <c r="A57" s="552"/>
      <c r="B57" s="648" t="s">
        <v>396</v>
      </c>
      <c r="C57" s="552" t="s">
        <v>129</v>
      </c>
      <c r="D57" s="552">
        <v>150</v>
      </c>
      <c r="E57" s="552">
        <v>150</v>
      </c>
      <c r="F57" s="552">
        <v>150</v>
      </c>
      <c r="G57" s="552">
        <v>150</v>
      </c>
      <c r="H57" s="552">
        <v>150</v>
      </c>
      <c r="I57" s="552">
        <v>160</v>
      </c>
      <c r="J57" s="550">
        <f>H57/D57*100</f>
        <v>100</v>
      </c>
      <c r="K57" s="650">
        <f>I57/H57*100</f>
        <v>106.66666666666667</v>
      </c>
    </row>
    <row r="58" spans="1:11" s="561" customFormat="1" ht="20.25" customHeight="1">
      <c r="A58" s="552"/>
      <c r="B58" s="648" t="s">
        <v>397</v>
      </c>
      <c r="C58" s="552" t="s">
        <v>130</v>
      </c>
      <c r="D58" s="553">
        <v>24.4</v>
      </c>
      <c r="E58" s="553">
        <v>24.4</v>
      </c>
      <c r="F58" s="553">
        <v>24.4</v>
      </c>
      <c r="G58" s="553">
        <f>10000*G57/G76</f>
        <v>23.893720730192104</v>
      </c>
      <c r="H58" s="553">
        <f>10000*H57/H76</f>
        <v>23.893720730192104</v>
      </c>
      <c r="I58" s="550">
        <f>10000*I57/I76</f>
        <v>24.987116018303063</v>
      </c>
      <c r="J58" s="652">
        <f>H58-D58</f>
        <v>-0.5062792698078944</v>
      </c>
      <c r="K58" s="652">
        <f>I58-H58</f>
        <v>1.0933952881109583</v>
      </c>
    </row>
    <row r="59" spans="1:11" s="561" customFormat="1" ht="20.25" customHeight="1">
      <c r="A59" s="549">
        <v>1</v>
      </c>
      <c r="B59" s="661" t="s">
        <v>566</v>
      </c>
      <c r="C59" s="549" t="s">
        <v>129</v>
      </c>
      <c r="D59" s="546">
        <f>D60+D61</f>
        <v>150</v>
      </c>
      <c r="E59" s="546">
        <f>E60+E61</f>
        <v>160</v>
      </c>
      <c r="F59" s="546">
        <f>F60+F61</f>
        <v>160</v>
      </c>
      <c r="G59" s="546">
        <f>G60+G61</f>
        <v>150</v>
      </c>
      <c r="H59" s="546">
        <v>150</v>
      </c>
      <c r="I59" s="546">
        <v>160</v>
      </c>
      <c r="J59" s="546">
        <f>H59/D59*100</f>
        <v>100</v>
      </c>
      <c r="K59" s="665">
        <f>I59/H59*100</f>
        <v>106.66666666666667</v>
      </c>
    </row>
    <row r="60" spans="1:11" s="561" customFormat="1" ht="20.25" customHeight="1">
      <c r="A60" s="552"/>
      <c r="B60" s="648" t="s">
        <v>131</v>
      </c>
      <c r="C60" s="552" t="s">
        <v>129</v>
      </c>
      <c r="D60" s="550">
        <v>120</v>
      </c>
      <c r="E60" s="550">
        <v>130</v>
      </c>
      <c r="F60" s="550">
        <v>130</v>
      </c>
      <c r="G60" s="550">
        <v>120</v>
      </c>
      <c r="H60" s="550">
        <v>120</v>
      </c>
      <c r="I60" s="550">
        <v>130</v>
      </c>
      <c r="J60" s="550">
        <f>H60/D60*100</f>
        <v>100</v>
      </c>
      <c r="K60" s="650">
        <f>I60/H60*100</f>
        <v>108.33333333333333</v>
      </c>
    </row>
    <row r="61" spans="1:11" s="561" customFormat="1" ht="20.25" customHeight="1">
      <c r="A61" s="552"/>
      <c r="B61" s="648" t="s">
        <v>565</v>
      </c>
      <c r="C61" s="552" t="s">
        <v>129</v>
      </c>
      <c r="D61" s="552">
        <v>30</v>
      </c>
      <c r="E61" s="552">
        <v>30</v>
      </c>
      <c r="F61" s="552">
        <v>30</v>
      </c>
      <c r="G61" s="552">
        <v>30</v>
      </c>
      <c r="H61" s="552">
        <v>30</v>
      </c>
      <c r="I61" s="552">
        <v>30</v>
      </c>
      <c r="J61" s="550">
        <f>H61/D61*100</f>
        <v>100</v>
      </c>
      <c r="K61" s="650">
        <f>I61/H61*100</f>
        <v>100</v>
      </c>
    </row>
    <row r="62" spans="1:11" s="666" customFormat="1" ht="20.25" customHeight="1">
      <c r="A62" s="549">
        <v>2</v>
      </c>
      <c r="B62" s="661" t="s">
        <v>132</v>
      </c>
      <c r="C62" s="549" t="s">
        <v>129</v>
      </c>
      <c r="D62" s="545">
        <v>36</v>
      </c>
      <c r="E62" s="545">
        <v>36</v>
      </c>
      <c r="F62" s="545">
        <v>36</v>
      </c>
      <c r="G62" s="545">
        <v>36</v>
      </c>
      <c r="H62" s="545">
        <v>36</v>
      </c>
      <c r="I62" s="545">
        <v>36</v>
      </c>
      <c r="J62" s="546">
        <f>H62/D62*100</f>
        <v>100</v>
      </c>
      <c r="K62" s="665">
        <f>I62/H62*100</f>
        <v>100</v>
      </c>
    </row>
    <row r="63" spans="1:11" s="561" customFormat="1" ht="20.25" customHeight="1">
      <c r="A63" s="549" t="s">
        <v>174</v>
      </c>
      <c r="B63" s="661" t="s">
        <v>133</v>
      </c>
      <c r="C63" s="549"/>
      <c r="D63" s="552"/>
      <c r="E63" s="552"/>
      <c r="F63" s="552"/>
      <c r="G63" s="552"/>
      <c r="H63" s="552"/>
      <c r="I63" s="657"/>
      <c r="J63" s="544"/>
      <c r="K63" s="652"/>
    </row>
    <row r="64" spans="1:12" s="561" customFormat="1" ht="20.25" customHeight="1">
      <c r="A64" s="552">
        <v>1</v>
      </c>
      <c r="B64" s="648" t="s">
        <v>398</v>
      </c>
      <c r="C64" s="552" t="s">
        <v>130</v>
      </c>
      <c r="D64" s="552">
        <v>9.1</v>
      </c>
      <c r="E64" s="552">
        <v>9.23</v>
      </c>
      <c r="F64" s="553">
        <v>9.2</v>
      </c>
      <c r="G64" s="553">
        <v>9.2</v>
      </c>
      <c r="H64" s="553">
        <v>9.5</v>
      </c>
      <c r="I64" s="553">
        <v>10.1</v>
      </c>
      <c r="J64" s="553">
        <f>H64-D64</f>
        <v>0.40000000000000036</v>
      </c>
      <c r="K64" s="558">
        <f>I64-H64</f>
        <v>0.5999999999999996</v>
      </c>
      <c r="L64" s="667"/>
    </row>
    <row r="65" spans="1:12" s="561" customFormat="1" ht="20.25" customHeight="1">
      <c r="A65" s="552">
        <v>2</v>
      </c>
      <c r="B65" s="648" t="s">
        <v>399</v>
      </c>
      <c r="C65" s="552" t="s">
        <v>130</v>
      </c>
      <c r="D65" s="439">
        <v>0.64</v>
      </c>
      <c r="E65" s="439">
        <v>0.64</v>
      </c>
      <c r="F65" s="544">
        <v>0.49</v>
      </c>
      <c r="G65" s="544">
        <v>0.48</v>
      </c>
      <c r="H65" s="544">
        <v>0.6</v>
      </c>
      <c r="I65" s="543">
        <v>0.7</v>
      </c>
      <c r="J65" s="544">
        <f>H65-D65</f>
        <v>-0.040000000000000036</v>
      </c>
      <c r="K65" s="558">
        <f>I65-H65</f>
        <v>0.09999999999999998</v>
      </c>
      <c r="L65" s="667"/>
    </row>
    <row r="66" spans="1:11" s="666" customFormat="1" ht="20.25" customHeight="1">
      <c r="A66" s="552">
        <v>3</v>
      </c>
      <c r="B66" s="648" t="s">
        <v>400</v>
      </c>
      <c r="C66" s="552" t="s">
        <v>13</v>
      </c>
      <c r="D66" s="552">
        <v>100</v>
      </c>
      <c r="E66" s="552">
        <v>100</v>
      </c>
      <c r="F66" s="550">
        <v>75</v>
      </c>
      <c r="G66" s="550">
        <v>100</v>
      </c>
      <c r="H66" s="550">
        <v>100</v>
      </c>
      <c r="I66" s="550">
        <v>100</v>
      </c>
      <c r="J66" s="553"/>
      <c r="K66" s="558"/>
    </row>
    <row r="67" spans="1:11" s="561" customFormat="1" ht="20.25" customHeight="1">
      <c r="A67" s="552">
        <v>4</v>
      </c>
      <c r="B67" s="648" t="s">
        <v>570</v>
      </c>
      <c r="C67" s="552" t="s">
        <v>13</v>
      </c>
      <c r="D67" s="552">
        <v>91.6</v>
      </c>
      <c r="E67" s="552">
        <v>100</v>
      </c>
      <c r="F67" s="550">
        <v>100</v>
      </c>
      <c r="G67" s="553">
        <v>91.6</v>
      </c>
      <c r="H67" s="553">
        <v>91.6</v>
      </c>
      <c r="I67" s="551">
        <v>91.6</v>
      </c>
      <c r="J67" s="550"/>
      <c r="K67" s="650"/>
    </row>
    <row r="68" spans="1:12" s="647" customFormat="1" ht="20.25" customHeight="1">
      <c r="A68" s="552">
        <v>5</v>
      </c>
      <c r="B68" s="648" t="s">
        <v>134</v>
      </c>
      <c r="C68" s="552" t="s">
        <v>13</v>
      </c>
      <c r="D68" s="542">
        <v>71.6</v>
      </c>
      <c r="E68" s="542">
        <v>92.6</v>
      </c>
      <c r="F68" s="541">
        <v>100</v>
      </c>
      <c r="G68" s="542">
        <v>71.6</v>
      </c>
      <c r="H68" s="548">
        <v>71.6</v>
      </c>
      <c r="I68" s="542">
        <v>71.6</v>
      </c>
      <c r="J68" s="550"/>
      <c r="K68" s="650"/>
      <c r="L68" s="560"/>
    </row>
    <row r="69" spans="1:12" s="561" customFormat="1" ht="20.25" customHeight="1">
      <c r="A69" s="549" t="s">
        <v>135</v>
      </c>
      <c r="B69" s="661" t="s">
        <v>401</v>
      </c>
      <c r="C69" s="552"/>
      <c r="D69" s="566"/>
      <c r="E69" s="566"/>
      <c r="F69" s="668"/>
      <c r="G69" s="668"/>
      <c r="H69" s="668"/>
      <c r="I69" s="563"/>
      <c r="J69" s="544"/>
      <c r="K69" s="652"/>
      <c r="L69" s="560"/>
    </row>
    <row r="70" spans="1:12" s="561" customFormat="1" ht="20.25" customHeight="1">
      <c r="A70" s="552"/>
      <c r="B70" s="648" t="s">
        <v>567</v>
      </c>
      <c r="C70" s="552" t="s">
        <v>136</v>
      </c>
      <c r="D70" s="541">
        <v>11</v>
      </c>
      <c r="E70" s="541">
        <v>11</v>
      </c>
      <c r="F70" s="541">
        <v>13</v>
      </c>
      <c r="G70" s="541">
        <v>11</v>
      </c>
      <c r="H70" s="541">
        <v>11</v>
      </c>
      <c r="I70" s="669">
        <v>11</v>
      </c>
      <c r="J70" s="550"/>
      <c r="K70" s="558"/>
      <c r="L70" s="560"/>
    </row>
    <row r="71" spans="1:12" s="561" customFormat="1" ht="20.25" customHeight="1">
      <c r="A71" s="552"/>
      <c r="B71" s="670" t="s">
        <v>568</v>
      </c>
      <c r="C71" s="552" t="s">
        <v>13</v>
      </c>
      <c r="D71" s="542">
        <f aca="true" t="shared" si="4" ref="D71:I71">D70/12*100</f>
        <v>91.66666666666666</v>
      </c>
      <c r="E71" s="542">
        <f t="shared" si="4"/>
        <v>91.66666666666666</v>
      </c>
      <c r="F71" s="541">
        <f t="shared" si="4"/>
        <v>108.33333333333333</v>
      </c>
      <c r="G71" s="542">
        <f t="shared" si="4"/>
        <v>91.66666666666666</v>
      </c>
      <c r="H71" s="542">
        <f t="shared" si="4"/>
        <v>91.66666666666666</v>
      </c>
      <c r="I71" s="542">
        <f t="shared" si="4"/>
        <v>91.66666666666666</v>
      </c>
      <c r="J71" s="544"/>
      <c r="K71" s="652"/>
      <c r="L71" s="560"/>
    </row>
    <row r="72" spans="1:12" s="561" customFormat="1" ht="42" customHeight="1">
      <c r="A72" s="552"/>
      <c r="B72" s="559" t="s">
        <v>689</v>
      </c>
      <c r="C72" s="552"/>
      <c r="D72" s="541"/>
      <c r="E72" s="541"/>
      <c r="F72" s="541"/>
      <c r="G72" s="541">
        <v>2</v>
      </c>
      <c r="H72" s="541">
        <v>4</v>
      </c>
      <c r="I72" s="541">
        <v>6</v>
      </c>
      <c r="J72" s="550"/>
      <c r="K72" s="558"/>
      <c r="L72" s="560"/>
    </row>
    <row r="73" spans="1:12" s="561" customFormat="1" ht="33.75" customHeight="1">
      <c r="A73" s="552"/>
      <c r="B73" s="562" t="s">
        <v>690</v>
      </c>
      <c r="C73" s="552" t="s">
        <v>13</v>
      </c>
      <c r="D73" s="542"/>
      <c r="E73" s="542"/>
      <c r="F73" s="541">
        <f>F71/12*100</f>
        <v>902.7777777777777</v>
      </c>
      <c r="G73" s="542">
        <v>16.6</v>
      </c>
      <c r="H73" s="542">
        <v>33.3</v>
      </c>
      <c r="I73" s="541">
        <v>50</v>
      </c>
      <c r="J73" s="544"/>
      <c r="K73" s="558">
        <f>I73-H73</f>
        <v>16.700000000000003</v>
      </c>
      <c r="L73" s="560"/>
    </row>
    <row r="74" spans="1:12" s="561" customFormat="1" ht="20.25" customHeight="1">
      <c r="A74" s="549" t="s">
        <v>137</v>
      </c>
      <c r="B74" s="661" t="s">
        <v>138</v>
      </c>
      <c r="C74" s="552"/>
      <c r="D74" s="671"/>
      <c r="E74" s="672"/>
      <c r="F74" s="671"/>
      <c r="G74" s="671"/>
      <c r="H74" s="671"/>
      <c r="I74" s="673"/>
      <c r="J74" s="544"/>
      <c r="K74" s="652"/>
      <c r="L74" s="560"/>
    </row>
    <row r="75" spans="1:12" s="561" customFormat="1" ht="20.25" customHeight="1">
      <c r="A75" s="549">
        <v>1</v>
      </c>
      <c r="B75" s="661" t="s">
        <v>139</v>
      </c>
      <c r="C75" s="552"/>
      <c r="D75" s="674"/>
      <c r="E75" s="674"/>
      <c r="F75" s="675"/>
      <c r="G75" s="675"/>
      <c r="H75" s="675"/>
      <c r="I75" s="676"/>
      <c r="J75" s="544"/>
      <c r="K75" s="652"/>
      <c r="L75" s="560"/>
    </row>
    <row r="76" spans="1:12" s="561" customFormat="1" ht="20.25" customHeight="1">
      <c r="A76" s="549" t="s">
        <v>169</v>
      </c>
      <c r="B76" s="661" t="s">
        <v>140</v>
      </c>
      <c r="C76" s="549" t="s">
        <v>141</v>
      </c>
      <c r="D76" s="677">
        <f>' Bieu 3 LDVT'!D9</f>
        <v>61599</v>
      </c>
      <c r="E76" s="677">
        <f>' Bieu 3 LDVT'!E9</f>
        <v>62849</v>
      </c>
      <c r="F76" s="438">
        <f>' Bieu 3 LDVT'!F9</f>
        <v>60316</v>
      </c>
      <c r="G76" s="438">
        <f>' Bieu 3 LDVT'!G9</f>
        <v>62778</v>
      </c>
      <c r="H76" s="438">
        <f>G76</f>
        <v>62778</v>
      </c>
      <c r="I76" s="678">
        <f>' Bieu 3 LDVT'!I9</f>
        <v>64033</v>
      </c>
      <c r="J76" s="679">
        <f>H76/D76*100</f>
        <v>101.91399211026153</v>
      </c>
      <c r="K76" s="665">
        <f>I76/H76*100</f>
        <v>101.99910796775941</v>
      </c>
      <c r="L76" s="560"/>
    </row>
    <row r="77" spans="1:12" s="561" customFormat="1" ht="20.25" customHeight="1">
      <c r="A77" s="549"/>
      <c r="B77" s="648" t="s">
        <v>142</v>
      </c>
      <c r="C77" s="552" t="s">
        <v>117</v>
      </c>
      <c r="D77" s="542">
        <v>16.5</v>
      </c>
      <c r="E77" s="668">
        <v>16.5</v>
      </c>
      <c r="F77" s="668">
        <v>10.6</v>
      </c>
      <c r="G77" s="668">
        <v>22.1</v>
      </c>
      <c r="H77" s="668">
        <v>16.7</v>
      </c>
      <c r="I77" s="542">
        <v>15.9</v>
      </c>
      <c r="J77" s="553">
        <f>H77-D77</f>
        <v>0.1999999999999993</v>
      </c>
      <c r="K77" s="558">
        <f>I77-H77</f>
        <v>-0.7999999999999989</v>
      </c>
      <c r="L77" s="560"/>
    </row>
    <row r="78" spans="1:12" s="561" customFormat="1" ht="20.25" customHeight="1">
      <c r="A78" s="549"/>
      <c r="B78" s="648" t="s">
        <v>402</v>
      </c>
      <c r="C78" s="552" t="s">
        <v>117</v>
      </c>
      <c r="D78" s="541">
        <v>12.7</v>
      </c>
      <c r="E78" s="542">
        <v>11.5</v>
      </c>
      <c r="F78" s="542">
        <v>7.7</v>
      </c>
      <c r="G78" s="541">
        <v>11</v>
      </c>
      <c r="H78" s="541">
        <v>11</v>
      </c>
      <c r="I78" s="542">
        <v>10.5</v>
      </c>
      <c r="J78" s="553">
        <f>H78-D78</f>
        <v>-1.6999999999999993</v>
      </c>
      <c r="K78" s="558">
        <f>I78-H78</f>
        <v>-0.5</v>
      </c>
      <c r="L78" s="560"/>
    </row>
    <row r="79" spans="1:12" s="561" customFormat="1" ht="20.25" customHeight="1">
      <c r="A79" s="549"/>
      <c r="B79" s="648" t="s">
        <v>403</v>
      </c>
      <c r="C79" s="552" t="s">
        <v>117</v>
      </c>
      <c r="D79" s="680">
        <v>1.4</v>
      </c>
      <c r="E79" s="680">
        <v>1.4</v>
      </c>
      <c r="F79" s="542">
        <v>18.1</v>
      </c>
      <c r="G79" s="542">
        <v>0.2</v>
      </c>
      <c r="H79" s="553">
        <f>D77-H77</f>
        <v>-0.1999999999999993</v>
      </c>
      <c r="I79" s="542">
        <f>H77-I77</f>
        <v>0.7999999999999989</v>
      </c>
      <c r="J79" s="553">
        <f>H79-D79</f>
        <v>-1.5999999999999992</v>
      </c>
      <c r="K79" s="558">
        <f>I79-H79</f>
        <v>0.9999999999999982</v>
      </c>
      <c r="L79" s="560"/>
    </row>
    <row r="80" spans="1:12" s="561" customFormat="1" ht="20.25" customHeight="1">
      <c r="A80" s="549"/>
      <c r="B80" s="648" t="s">
        <v>143</v>
      </c>
      <c r="C80" s="552" t="s">
        <v>13</v>
      </c>
      <c r="D80" s="542">
        <v>2.05</v>
      </c>
      <c r="E80" s="681">
        <v>2</v>
      </c>
      <c r="F80" s="672">
        <v>2.2</v>
      </c>
      <c r="G80" s="672">
        <v>1.9</v>
      </c>
      <c r="H80" s="672">
        <v>1.9</v>
      </c>
      <c r="I80" s="551">
        <v>1.86</v>
      </c>
      <c r="J80" s="553">
        <f>H80-D80</f>
        <v>-0.1499999999999999</v>
      </c>
      <c r="K80" s="652">
        <f>I80-H80</f>
        <v>-0.039999999999999813</v>
      </c>
      <c r="L80" s="682"/>
    </row>
    <row r="81" spans="1:12" s="561" customFormat="1" ht="53.25" customHeight="1">
      <c r="A81" s="549"/>
      <c r="B81" s="683" t="s">
        <v>404</v>
      </c>
      <c r="C81" s="684" t="s">
        <v>405</v>
      </c>
      <c r="D81" s="681">
        <v>106</v>
      </c>
      <c r="E81" s="681">
        <v>106</v>
      </c>
      <c r="F81" s="685"/>
      <c r="G81" s="685"/>
      <c r="H81" s="557"/>
      <c r="I81" s="686"/>
      <c r="J81" s="550"/>
      <c r="K81" s="650"/>
      <c r="L81" s="682"/>
    </row>
    <row r="82" spans="1:12" s="561" customFormat="1" ht="20.25" customHeight="1">
      <c r="A82" s="549" t="s">
        <v>170</v>
      </c>
      <c r="B82" s="661" t="s">
        <v>144</v>
      </c>
      <c r="C82" s="552"/>
      <c r="D82" s="687"/>
      <c r="E82" s="687"/>
      <c r="F82" s="687"/>
      <c r="G82" s="687"/>
      <c r="H82" s="687"/>
      <c r="I82" s="688"/>
      <c r="J82" s="544"/>
      <c r="K82" s="652"/>
      <c r="L82" s="682"/>
    </row>
    <row r="83" spans="1:13" s="561" customFormat="1" ht="20.25" customHeight="1">
      <c r="A83" s="552"/>
      <c r="B83" s="648" t="s">
        <v>145</v>
      </c>
      <c r="C83" s="552" t="s">
        <v>141</v>
      </c>
      <c r="D83" s="689">
        <f aca="true" t="shared" si="5" ref="D83:I83">D76-D85</f>
        <v>31473</v>
      </c>
      <c r="E83" s="689">
        <f t="shared" si="5"/>
        <v>32115</v>
      </c>
      <c r="F83" s="689">
        <f t="shared" si="5"/>
        <v>31473</v>
      </c>
      <c r="G83" s="689">
        <f t="shared" si="5"/>
        <v>32080</v>
      </c>
      <c r="H83" s="689">
        <f t="shared" si="5"/>
        <v>32080</v>
      </c>
      <c r="I83" s="689">
        <f t="shared" si="5"/>
        <v>32813</v>
      </c>
      <c r="J83" s="544">
        <f>H83/D83*100</f>
        <v>101.92863724462238</v>
      </c>
      <c r="K83" s="652">
        <f>I83/H83*100</f>
        <v>102.28491271820448</v>
      </c>
      <c r="L83" s="682"/>
      <c r="M83" s="561" t="s">
        <v>168</v>
      </c>
    </row>
    <row r="84" spans="1:12" s="561" customFormat="1" ht="20.25" customHeight="1">
      <c r="A84" s="549"/>
      <c r="B84" s="648" t="s">
        <v>146</v>
      </c>
      <c r="C84" s="552" t="s">
        <v>13</v>
      </c>
      <c r="D84" s="690">
        <f>D83/D76*100</f>
        <v>51.093361905225734</v>
      </c>
      <c r="E84" s="542">
        <f>E83/E76%</f>
        <v>51.098665054336585</v>
      </c>
      <c r="F84" s="542">
        <f>F83/F76%</f>
        <v>51.098665054336585</v>
      </c>
      <c r="G84" s="542">
        <f>G83/G76%</f>
        <v>51.10070406830418</v>
      </c>
      <c r="H84" s="542">
        <f>H83/H76%</f>
        <v>51.10070406830418</v>
      </c>
      <c r="I84" s="542">
        <f>I83/I76%</f>
        <v>51.24388986928614</v>
      </c>
      <c r="J84" s="544">
        <f>H84-D84</f>
        <v>0.0073421630784480385</v>
      </c>
      <c r="K84" s="652">
        <f>I84-H84</f>
        <v>0.14318580098196065</v>
      </c>
      <c r="L84" s="682"/>
    </row>
    <row r="85" spans="1:11" s="561" customFormat="1" ht="20.25" customHeight="1">
      <c r="A85" s="552"/>
      <c r="B85" s="648" t="s">
        <v>147</v>
      </c>
      <c r="C85" s="552" t="s">
        <v>141</v>
      </c>
      <c r="D85" s="681">
        <f>' Bieu 3 LDVT'!D10</f>
        <v>30126</v>
      </c>
      <c r="E85" s="541">
        <f>' Bieu 3 LDVT'!E10</f>
        <v>30734</v>
      </c>
      <c r="F85" s="541">
        <f>'[1] Bieu 3 LDVT'!F21</f>
        <v>16641.193726</v>
      </c>
      <c r="G85" s="541">
        <f>' Bieu 3 LDVT'!G10</f>
        <v>30698</v>
      </c>
      <c r="H85" s="541">
        <f>' Bieu 3 LDVT'!H10</f>
        <v>30698</v>
      </c>
      <c r="I85" s="691">
        <f>' Bieu 3 LDVT'!I10</f>
        <v>31220</v>
      </c>
      <c r="J85" s="550">
        <f>H85/D85*100</f>
        <v>101.89869215959637</v>
      </c>
      <c r="K85" s="558">
        <f>I85/H85*100</f>
        <v>101.70043651052185</v>
      </c>
    </row>
    <row r="86" spans="1:11" s="561" customFormat="1" ht="20.25" customHeight="1">
      <c r="A86" s="549"/>
      <c r="B86" s="648" t="s">
        <v>148</v>
      </c>
      <c r="C86" s="552" t="s">
        <v>13</v>
      </c>
      <c r="D86" s="544">
        <v>49.99</v>
      </c>
      <c r="E86" s="542">
        <f>E85/E76%</f>
        <v>48.901334945663415</v>
      </c>
      <c r="F86" s="542">
        <f>F85/F76%</f>
        <v>48.901334945663415</v>
      </c>
      <c r="G86" s="542">
        <f>G85/G76%</f>
        <v>48.89929593169582</v>
      </c>
      <c r="H86" s="542">
        <f>H85/H76%</f>
        <v>48.89929593169582</v>
      </c>
      <c r="I86" s="542">
        <f>I85/I76%</f>
        <v>48.75611013071385</v>
      </c>
      <c r="J86" s="544">
        <f>H86-D86</f>
        <v>-1.0907040683041842</v>
      </c>
      <c r="K86" s="652">
        <f>I86-H86</f>
        <v>-0.14318580098196776</v>
      </c>
    </row>
    <row r="87" spans="1:11" s="561" customFormat="1" ht="20.25" customHeight="1">
      <c r="A87" s="549" t="s">
        <v>171</v>
      </c>
      <c r="B87" s="661" t="s">
        <v>149</v>
      </c>
      <c r="C87" s="552"/>
      <c r="D87" s="552"/>
      <c r="E87" s="552"/>
      <c r="F87" s="552"/>
      <c r="G87" s="327"/>
      <c r="H87" s="327"/>
      <c r="I87" s="657"/>
      <c r="J87" s="544"/>
      <c r="K87" s="652"/>
    </row>
    <row r="88" spans="1:12" s="561" customFormat="1" ht="22.5" customHeight="1">
      <c r="A88" s="552"/>
      <c r="B88" s="648" t="s">
        <v>150</v>
      </c>
      <c r="C88" s="552" t="s">
        <v>141</v>
      </c>
      <c r="D88" s="689">
        <f>' Bieu 3 LDVT'!D11</f>
        <v>8275</v>
      </c>
      <c r="E88" s="689">
        <f>' Bieu 3 LDVT'!E11</f>
        <v>8460</v>
      </c>
      <c r="F88" s="689">
        <v>8148</v>
      </c>
      <c r="G88" s="541">
        <f>' Bieu 3 LDVT'!G11</f>
        <v>8519</v>
      </c>
      <c r="H88" s="541">
        <f>' Bieu 3 LDVT'!H11</f>
        <v>8519</v>
      </c>
      <c r="I88" s="692">
        <f>' Bieu 3 LDVT'!J11</f>
        <v>8689</v>
      </c>
      <c r="J88" s="544">
        <f>H88/D88*100</f>
        <v>102.94864048338368</v>
      </c>
      <c r="K88" s="652">
        <f>I88/H88*100</f>
        <v>101.99553938255663</v>
      </c>
      <c r="L88" s="693"/>
    </row>
    <row r="89" spans="1:11" s="695" customFormat="1" ht="22.5" customHeight="1">
      <c r="A89" s="552"/>
      <c r="B89" s="648" t="s">
        <v>146</v>
      </c>
      <c r="C89" s="552" t="s">
        <v>13</v>
      </c>
      <c r="D89" s="694">
        <f aca="true" t="shared" si="6" ref="D89:I89">D88/D76*100</f>
        <v>13.433659637331774</v>
      </c>
      <c r="E89" s="694">
        <f t="shared" si="6"/>
        <v>13.460834699040557</v>
      </c>
      <c r="F89" s="694">
        <f t="shared" si="6"/>
        <v>13.433659637331774</v>
      </c>
      <c r="G89" s="694">
        <f t="shared" si="6"/>
        <v>13.57004046003377</v>
      </c>
      <c r="H89" s="694">
        <f t="shared" si="6"/>
        <v>13.57004046003377</v>
      </c>
      <c r="I89" s="694">
        <f t="shared" si="6"/>
        <v>13.569565692689705</v>
      </c>
      <c r="J89" s="544">
        <f>H89-D89</f>
        <v>0.13638082270199625</v>
      </c>
      <c r="K89" s="558">
        <f>I89-H89</f>
        <v>-0.00047476734406437515</v>
      </c>
    </row>
    <row r="90" spans="1:11" s="647" customFormat="1" ht="20.25" customHeight="1">
      <c r="A90" s="552"/>
      <c r="B90" s="648" t="s">
        <v>151</v>
      </c>
      <c r="C90" s="552" t="s">
        <v>141</v>
      </c>
      <c r="D90" s="696">
        <f aca="true" t="shared" si="7" ref="D90:I90">D76-D88</f>
        <v>53324</v>
      </c>
      <c r="E90" s="697">
        <f t="shared" si="7"/>
        <v>54389</v>
      </c>
      <c r="F90" s="697">
        <f t="shared" si="7"/>
        <v>52168</v>
      </c>
      <c r="G90" s="689">
        <f t="shared" si="7"/>
        <v>54259</v>
      </c>
      <c r="H90" s="689">
        <f t="shared" si="7"/>
        <v>54259</v>
      </c>
      <c r="I90" s="689">
        <f t="shared" si="7"/>
        <v>55344</v>
      </c>
      <c r="J90" s="544">
        <f>H90/D90*100</f>
        <v>101.75343185057386</v>
      </c>
      <c r="K90" s="652">
        <f>I90/H90*100</f>
        <v>101.99966825780055</v>
      </c>
    </row>
    <row r="91" spans="1:11" s="561" customFormat="1" ht="20.25" customHeight="1">
      <c r="A91" s="552"/>
      <c r="B91" s="648" t="s">
        <v>148</v>
      </c>
      <c r="C91" s="552" t="s">
        <v>13</v>
      </c>
      <c r="D91" s="439">
        <f aca="true" t="shared" si="8" ref="D91:I91">D90/D76*100</f>
        <v>86.56634036266823</v>
      </c>
      <c r="E91" s="439">
        <f t="shared" si="8"/>
        <v>86.53916530095944</v>
      </c>
      <c r="F91" s="439">
        <f t="shared" si="8"/>
        <v>86.56634036266823</v>
      </c>
      <c r="G91" s="439">
        <f t="shared" si="8"/>
        <v>86.42995953996623</v>
      </c>
      <c r="H91" s="439">
        <f t="shared" si="8"/>
        <v>86.42995953996623</v>
      </c>
      <c r="I91" s="439">
        <f t="shared" si="8"/>
        <v>86.43043430731029</v>
      </c>
      <c r="J91" s="544">
        <f>H91-D91</f>
        <v>-0.13638082270199448</v>
      </c>
      <c r="K91" s="558">
        <f>I91-H91</f>
        <v>0.0004747673440590461</v>
      </c>
    </row>
    <row r="92" spans="1:11" s="561" customFormat="1" ht="20.25" customHeight="1">
      <c r="A92" s="549">
        <v>2</v>
      </c>
      <c r="B92" s="661" t="s">
        <v>152</v>
      </c>
      <c r="C92" s="552"/>
      <c r="D92" s="548"/>
      <c r="E92" s="548"/>
      <c r="F92" s="548"/>
      <c r="G92" s="548"/>
      <c r="H92" s="550"/>
      <c r="I92" s="669"/>
      <c r="J92" s="544"/>
      <c r="K92" s="652"/>
    </row>
    <row r="93" spans="1:11" s="561" customFormat="1" ht="20.25" customHeight="1">
      <c r="A93" s="549"/>
      <c r="B93" s="648" t="s">
        <v>153</v>
      </c>
      <c r="C93" s="552" t="s">
        <v>13</v>
      </c>
      <c r="D93" s="548">
        <v>26</v>
      </c>
      <c r="E93" s="548">
        <v>28</v>
      </c>
      <c r="F93" s="553">
        <v>25.5</v>
      </c>
      <c r="G93" s="553">
        <v>29.3</v>
      </c>
      <c r="H93" s="548">
        <v>29.3</v>
      </c>
      <c r="I93" s="548">
        <v>29.5</v>
      </c>
      <c r="J93" s="553">
        <f>H93-D93</f>
        <v>3.3000000000000007</v>
      </c>
      <c r="K93" s="558">
        <f>I93-H93</f>
        <v>0.1999999999999993</v>
      </c>
    </row>
    <row r="94" spans="1:11" s="561" customFormat="1" ht="20.25" customHeight="1">
      <c r="A94" s="549"/>
      <c r="B94" s="648" t="s">
        <v>569</v>
      </c>
      <c r="C94" s="552" t="s">
        <v>13</v>
      </c>
      <c r="D94" s="552">
        <v>19.6</v>
      </c>
      <c r="E94" s="552">
        <v>21</v>
      </c>
      <c r="F94" s="552">
        <v>19.7</v>
      </c>
      <c r="G94" s="552">
        <v>23</v>
      </c>
      <c r="H94" s="550">
        <v>23</v>
      </c>
      <c r="I94" s="552">
        <v>23.6</v>
      </c>
      <c r="J94" s="553">
        <f>H94-D94</f>
        <v>3.3999999999999986</v>
      </c>
      <c r="K94" s="558">
        <f>I94-H94</f>
        <v>0.6000000000000014</v>
      </c>
    </row>
    <row r="95" spans="1:11" s="561" customFormat="1" ht="20.25" customHeight="1">
      <c r="A95" s="698"/>
      <c r="B95" s="699" t="s">
        <v>154</v>
      </c>
      <c r="C95" s="700" t="s">
        <v>13</v>
      </c>
      <c r="D95" s="548">
        <v>65</v>
      </c>
      <c r="E95" s="548">
        <v>65</v>
      </c>
      <c r="F95" s="548">
        <v>65.1</v>
      </c>
      <c r="G95" s="548">
        <v>73</v>
      </c>
      <c r="H95" s="548">
        <v>73</v>
      </c>
      <c r="I95" s="548">
        <v>74</v>
      </c>
      <c r="J95" s="550">
        <f>H95-D95</f>
        <v>8</v>
      </c>
      <c r="K95" s="650">
        <f>I95-H95</f>
        <v>1</v>
      </c>
    </row>
    <row r="96" spans="1:11" s="561" customFormat="1" ht="35.25" customHeight="1">
      <c r="A96" s="698"/>
      <c r="B96" s="699" t="s">
        <v>622</v>
      </c>
      <c r="C96" s="548" t="s">
        <v>13</v>
      </c>
      <c r="D96" s="548">
        <v>65</v>
      </c>
      <c r="E96" s="548">
        <v>65</v>
      </c>
      <c r="F96" s="548"/>
      <c r="G96" s="541">
        <v>67</v>
      </c>
      <c r="H96" s="541">
        <v>67</v>
      </c>
      <c r="I96" s="548">
        <v>67</v>
      </c>
      <c r="J96" s="550">
        <f>H96-D96</f>
        <v>2</v>
      </c>
      <c r="K96" s="558"/>
    </row>
    <row r="97" spans="1:11" s="561" customFormat="1" ht="30.75" customHeight="1">
      <c r="A97" s="698"/>
      <c r="B97" s="699" t="s">
        <v>155</v>
      </c>
      <c r="C97" s="548" t="s">
        <v>13</v>
      </c>
      <c r="D97" s="548">
        <v>27</v>
      </c>
      <c r="E97" s="548">
        <v>18.1</v>
      </c>
      <c r="F97" s="548">
        <v>30</v>
      </c>
      <c r="G97" s="541">
        <v>22</v>
      </c>
      <c r="H97" s="541">
        <v>19</v>
      </c>
      <c r="I97" s="548">
        <v>18.1</v>
      </c>
      <c r="J97" s="550">
        <f>H97-D97</f>
        <v>-8</v>
      </c>
      <c r="K97" s="558">
        <f>I97-H97</f>
        <v>-0.8999999999999986</v>
      </c>
    </row>
    <row r="98" spans="1:11" s="703" customFormat="1" ht="14.25">
      <c r="A98" s="698" t="s">
        <v>322</v>
      </c>
      <c r="B98" s="661" t="s">
        <v>406</v>
      </c>
      <c r="C98" s="549" t="s">
        <v>141</v>
      </c>
      <c r="D98" s="701">
        <v>5970</v>
      </c>
      <c r="E98" s="701">
        <v>62554</v>
      </c>
      <c r="F98" s="701">
        <v>58926</v>
      </c>
      <c r="G98" s="701">
        <v>62296</v>
      </c>
      <c r="H98" s="701">
        <f>E98</f>
        <v>62554</v>
      </c>
      <c r="I98" s="678">
        <v>63750</v>
      </c>
      <c r="J98" s="679">
        <f>H98/D98*100</f>
        <v>1047.8056951423787</v>
      </c>
      <c r="K98" s="702">
        <f>I98/H98*100</f>
        <v>101.91194807686159</v>
      </c>
    </row>
    <row r="99" spans="1:11" ht="15">
      <c r="A99" s="549"/>
      <c r="B99" s="699" t="s">
        <v>407</v>
      </c>
      <c r="C99" s="549" t="s">
        <v>13</v>
      </c>
      <c r="D99" s="548">
        <v>97.36</v>
      </c>
      <c r="E99" s="544">
        <v>99.53</v>
      </c>
      <c r="F99" s="550">
        <f>F98/F76*100</f>
        <v>97.6954705219179</v>
      </c>
      <c r="G99" s="553">
        <f>G98/G76*100</f>
        <v>99.23221510720316</v>
      </c>
      <c r="H99" s="553">
        <f>H98/H76*100</f>
        <v>99.64318710376247</v>
      </c>
      <c r="I99" s="553">
        <f>I98/I76*100</f>
        <v>99.55804038542627</v>
      </c>
      <c r="J99" s="550">
        <f>H99-D99</f>
        <v>2.2831871037624722</v>
      </c>
      <c r="K99" s="558">
        <f>I99-H99</f>
        <v>-0.08514671833620469</v>
      </c>
    </row>
    <row r="100" spans="1:11" ht="15">
      <c r="A100" s="549" t="s">
        <v>408</v>
      </c>
      <c r="B100" s="661" t="s">
        <v>409</v>
      </c>
      <c r="C100" s="549"/>
      <c r="D100" s="548"/>
      <c r="E100" s="548"/>
      <c r="F100" s="548"/>
      <c r="G100" s="548"/>
      <c r="H100" s="550"/>
      <c r="I100" s="662"/>
      <c r="J100" s="544"/>
      <c r="K100" s="652"/>
    </row>
    <row r="101" spans="1:11" ht="30">
      <c r="A101" s="552"/>
      <c r="B101" s="699" t="s">
        <v>410</v>
      </c>
      <c r="C101" s="552" t="s">
        <v>13</v>
      </c>
      <c r="D101" s="548">
        <v>82</v>
      </c>
      <c r="E101" s="548">
        <v>87</v>
      </c>
      <c r="F101" s="548">
        <v>74.2</v>
      </c>
      <c r="G101" s="548">
        <v>85</v>
      </c>
      <c r="H101" s="550">
        <v>86</v>
      </c>
      <c r="I101" s="548">
        <v>91.2</v>
      </c>
      <c r="J101" s="550">
        <f>H101-D101</f>
        <v>4</v>
      </c>
      <c r="K101" s="650">
        <f>I101-H101</f>
        <v>5.200000000000003</v>
      </c>
    </row>
    <row r="102" spans="1:11" ht="15">
      <c r="A102" s="552"/>
      <c r="B102" s="699" t="s">
        <v>411</v>
      </c>
      <c r="C102" s="552" t="s">
        <v>13</v>
      </c>
      <c r="D102" s="548"/>
      <c r="E102" s="548"/>
      <c r="F102" s="548"/>
      <c r="G102" s="548"/>
      <c r="H102" s="550"/>
      <c r="I102" s="548"/>
      <c r="J102" s="544"/>
      <c r="K102" s="652"/>
    </row>
    <row r="103" spans="1:11" ht="30">
      <c r="A103" s="552"/>
      <c r="B103" s="699" t="s">
        <v>412</v>
      </c>
      <c r="C103" s="548" t="s">
        <v>141</v>
      </c>
      <c r="D103" s="548">
        <v>100</v>
      </c>
      <c r="E103" s="548">
        <v>120</v>
      </c>
      <c r="F103" s="548">
        <v>106</v>
      </c>
      <c r="G103" s="548">
        <v>96</v>
      </c>
      <c r="H103" s="550">
        <v>97</v>
      </c>
      <c r="I103" s="548">
        <v>120</v>
      </c>
      <c r="J103" s="550">
        <f>H103/D103*100</f>
        <v>97</v>
      </c>
      <c r="K103" s="650">
        <f>I103/H103*100</f>
        <v>123.71134020618557</v>
      </c>
    </row>
    <row r="104" spans="1:11" ht="21" customHeight="1">
      <c r="A104" s="704" t="s">
        <v>413</v>
      </c>
      <c r="B104" s="705" t="s">
        <v>414</v>
      </c>
      <c r="C104" s="549"/>
      <c r="D104" s="548"/>
      <c r="E104" s="548"/>
      <c r="F104" s="548"/>
      <c r="G104" s="548"/>
      <c r="H104" s="550"/>
      <c r="I104" s="548"/>
      <c r="J104" s="544"/>
      <c r="K104" s="652"/>
    </row>
    <row r="105" spans="1:11" ht="21" customHeight="1">
      <c r="A105" s="552">
        <v>1</v>
      </c>
      <c r="B105" s="699" t="s">
        <v>415</v>
      </c>
      <c r="C105" s="548" t="s">
        <v>13</v>
      </c>
      <c r="D105" s="547">
        <v>95</v>
      </c>
      <c r="E105" s="547">
        <v>95</v>
      </c>
      <c r="F105" s="547">
        <v>95</v>
      </c>
      <c r="G105" s="543">
        <v>53.1</v>
      </c>
      <c r="H105" s="550">
        <v>95</v>
      </c>
      <c r="I105" s="557">
        <v>95.1</v>
      </c>
      <c r="J105" s="550"/>
      <c r="K105" s="558">
        <f>I105-H105</f>
        <v>0.09999999999999432</v>
      </c>
    </row>
    <row r="106" spans="1:11" ht="21" customHeight="1">
      <c r="A106" s="552">
        <v>2</v>
      </c>
      <c r="B106" s="699" t="s">
        <v>416</v>
      </c>
      <c r="C106" s="548" t="s">
        <v>13</v>
      </c>
      <c r="D106" s="548">
        <v>95</v>
      </c>
      <c r="E106" s="548">
        <v>95</v>
      </c>
      <c r="F106" s="548">
        <v>95</v>
      </c>
      <c r="G106" s="548">
        <v>54.3</v>
      </c>
      <c r="H106" s="551">
        <v>94.8</v>
      </c>
      <c r="I106" s="557">
        <v>95.1</v>
      </c>
      <c r="J106" s="550"/>
      <c r="K106" s="558">
        <f>I106-H106</f>
        <v>0.29999999999999716</v>
      </c>
    </row>
    <row r="107" spans="1:11" ht="21" customHeight="1">
      <c r="A107" s="552">
        <v>3</v>
      </c>
      <c r="B107" s="699" t="s">
        <v>417</v>
      </c>
      <c r="C107" s="548" t="s">
        <v>13</v>
      </c>
      <c r="D107" s="548">
        <v>95</v>
      </c>
      <c r="E107" s="548">
        <v>95</v>
      </c>
      <c r="F107" s="548">
        <v>95</v>
      </c>
      <c r="G107" s="547">
        <v>45</v>
      </c>
      <c r="H107" s="550">
        <v>95</v>
      </c>
      <c r="I107" s="547">
        <v>95</v>
      </c>
      <c r="J107" s="550"/>
      <c r="K107" s="558"/>
    </row>
    <row r="108" spans="1:11" ht="21" customHeight="1">
      <c r="A108" s="552">
        <v>4</v>
      </c>
      <c r="B108" s="699" t="s">
        <v>418</v>
      </c>
      <c r="C108" s="548" t="s">
        <v>13</v>
      </c>
      <c r="D108" s="547">
        <v>95</v>
      </c>
      <c r="E108" s="547">
        <v>95</v>
      </c>
      <c r="F108" s="547">
        <v>95</v>
      </c>
      <c r="G108" s="543">
        <v>41</v>
      </c>
      <c r="H108" s="550">
        <v>95</v>
      </c>
      <c r="I108" s="547">
        <v>95</v>
      </c>
      <c r="J108" s="550"/>
      <c r="K108" s="558"/>
    </row>
    <row r="109" spans="1:11" ht="36" customHeight="1">
      <c r="A109" s="552">
        <v>5</v>
      </c>
      <c r="B109" s="699" t="s">
        <v>419</v>
      </c>
      <c r="C109" s="548" t="s">
        <v>13</v>
      </c>
      <c r="D109" s="548"/>
      <c r="E109" s="548"/>
      <c r="F109" s="543">
        <v>43.5</v>
      </c>
      <c r="G109" s="543"/>
      <c r="H109" s="550"/>
      <c r="I109" s="548"/>
      <c r="J109" s="553"/>
      <c r="K109" s="652"/>
    </row>
    <row r="110" spans="1:11" ht="21" customHeight="1">
      <c r="A110" s="552">
        <v>6</v>
      </c>
      <c r="B110" s="699" t="s">
        <v>420</v>
      </c>
      <c r="C110" s="548" t="s">
        <v>13</v>
      </c>
      <c r="D110" s="548">
        <v>43</v>
      </c>
      <c r="E110" s="548">
        <v>46.5</v>
      </c>
      <c r="F110" s="548">
        <v>43.5</v>
      </c>
      <c r="G110" s="547">
        <v>43</v>
      </c>
      <c r="H110" s="551" t="s">
        <v>691</v>
      </c>
      <c r="I110" s="543">
        <v>48.2</v>
      </c>
      <c r="J110" s="553">
        <f>H110-D110</f>
        <v>0.7999999999999972</v>
      </c>
      <c r="K110" s="558">
        <f>I110-H110</f>
        <v>4.400000000000006</v>
      </c>
    </row>
    <row r="111" spans="1:11" ht="30">
      <c r="A111" s="552">
        <v>7</v>
      </c>
      <c r="B111" s="699" t="s">
        <v>421</v>
      </c>
      <c r="C111" s="548" t="s">
        <v>13</v>
      </c>
      <c r="D111" s="548">
        <v>89.3</v>
      </c>
      <c r="E111" s="548">
        <v>91.9</v>
      </c>
      <c r="F111" s="548">
        <v>81.9</v>
      </c>
      <c r="G111" s="548">
        <v>89.3</v>
      </c>
      <c r="H111" s="553">
        <v>96.2</v>
      </c>
      <c r="I111" s="543">
        <v>96.2</v>
      </c>
      <c r="J111" s="553">
        <f>H111-D111</f>
        <v>6.900000000000006</v>
      </c>
      <c r="K111" s="558"/>
    </row>
    <row r="112" spans="1:11" s="703" customFormat="1" ht="15">
      <c r="A112" s="440" t="s">
        <v>679</v>
      </c>
      <c r="B112" s="441" t="s">
        <v>680</v>
      </c>
      <c r="C112" s="440" t="s">
        <v>141</v>
      </c>
      <c r="D112" s="440"/>
      <c r="E112" s="444">
        <v>31425</v>
      </c>
      <c r="F112" s="438">
        <v>31425</v>
      </c>
      <c r="G112" s="440"/>
      <c r="H112" s="558"/>
      <c r="I112" s="543"/>
      <c r="J112" s="553"/>
      <c r="K112" s="558"/>
    </row>
    <row r="113" spans="1:11" ht="15">
      <c r="A113" s="442"/>
      <c r="B113" s="443" t="s">
        <v>681</v>
      </c>
      <c r="C113" s="442" t="s">
        <v>13</v>
      </c>
      <c r="D113" s="442"/>
      <c r="E113" s="442">
        <v>50.24</v>
      </c>
      <c r="F113" s="439">
        <v>50.24</v>
      </c>
      <c r="G113" s="442"/>
      <c r="H113" s="442">
        <v>50.24</v>
      </c>
      <c r="I113" s="442">
        <v>50.24</v>
      </c>
      <c r="J113" s="553">
        <f>H113-D113</f>
        <v>50.24</v>
      </c>
      <c r="K113" s="558"/>
    </row>
  </sheetData>
  <sheetProtection/>
  <mergeCells count="18">
    <mergeCell ref="M25:N25"/>
    <mergeCell ref="K6:K7"/>
    <mergeCell ref="P25:Q25"/>
    <mergeCell ref="A1:B1"/>
    <mergeCell ref="A2:K2"/>
    <mergeCell ref="A5:A7"/>
    <mergeCell ref="B5:B7"/>
    <mergeCell ref="C5:C7"/>
    <mergeCell ref="D5:D7"/>
    <mergeCell ref="E5:H5"/>
    <mergeCell ref="A3:K3"/>
    <mergeCell ref="I5:I7"/>
    <mergeCell ref="J5:K5"/>
    <mergeCell ref="E6:E7"/>
    <mergeCell ref="F6:F7"/>
    <mergeCell ref="H6:H7"/>
    <mergeCell ref="J6:J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94"/>
  <sheetViews>
    <sheetView view="pageBreakPreview" zoomScale="85" zoomScaleNormal="5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I14" sqref="I14"/>
    </sheetView>
  </sheetViews>
  <sheetFormatPr defaultColWidth="9.140625" defaultRowHeight="12.75"/>
  <cols>
    <col min="1" max="1" width="5.421875" style="44" customWidth="1"/>
    <col min="2" max="2" width="36.140625" style="232" customWidth="1"/>
    <col min="3" max="3" width="11.28125" style="44" customWidth="1"/>
    <col min="4" max="4" width="11.28125" style="44" bestFit="1" customWidth="1"/>
    <col min="5" max="5" width="9.421875" style="44" customWidth="1"/>
    <col min="6" max="6" width="9.57421875" style="44" customWidth="1"/>
    <col min="7" max="7" width="9.8515625" style="44" customWidth="1"/>
    <col min="8" max="8" width="10.57421875" style="244" customWidth="1"/>
    <col min="9" max="9" width="8.57421875" style="44" customWidth="1"/>
    <col min="10" max="10" width="10.57421875" style="44" customWidth="1"/>
    <col min="11" max="11" width="8.00390625" style="44" customWidth="1"/>
    <col min="12" max="12" width="9.00390625" style="44" customWidth="1"/>
    <col min="13" max="13" width="8.7109375" style="44" customWidth="1"/>
    <col min="14" max="14" width="8.421875" style="44" customWidth="1"/>
    <col min="15" max="15" width="8.00390625" style="44" customWidth="1"/>
    <col min="16" max="16" width="8.140625" style="44" customWidth="1"/>
    <col min="17" max="17" width="9.00390625" style="44" customWidth="1"/>
    <col min="18" max="18" width="8.140625" style="44" customWidth="1"/>
    <col min="19" max="19" width="8.00390625" style="44" customWidth="1"/>
    <col min="20" max="20" width="8.140625" style="44" customWidth="1"/>
    <col min="21" max="21" width="11.7109375" style="44" customWidth="1"/>
    <col min="22" max="22" width="9.8515625" style="44" customWidth="1"/>
    <col min="23" max="16384" width="9.140625" style="44" customWidth="1"/>
  </cols>
  <sheetData>
    <row r="1" spans="1:22" ht="29.25" customHeight="1">
      <c r="A1" s="924" t="s">
        <v>698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</row>
    <row r="2" spans="1:22" ht="26.25" customHeight="1">
      <c r="A2" s="721" t="str">
        <f>'Y tế'!A3:K3</f>
        <v>(Kèm theo Kế hoạch số:              /KH-UBND ngày     /    /2023 của UBND huyện Tủa Chùa)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  <c r="T2" s="721"/>
      <c r="U2" s="721"/>
      <c r="V2" s="721"/>
    </row>
    <row r="3" spans="1:22" ht="15.75">
      <c r="A3" s="43"/>
      <c r="B3" s="229"/>
      <c r="C3" s="43"/>
      <c r="D3" s="46"/>
      <c r="E3" s="46"/>
      <c r="F3" s="46"/>
      <c r="G3" s="46"/>
      <c r="H3" s="243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s="47" customFormat="1" ht="27.75" customHeight="1">
      <c r="A4" s="776" t="s">
        <v>226</v>
      </c>
      <c r="B4" s="776" t="s">
        <v>156</v>
      </c>
      <c r="C4" s="776" t="s">
        <v>44</v>
      </c>
      <c r="D4" s="776" t="s">
        <v>682</v>
      </c>
      <c r="E4" s="776" t="s">
        <v>639</v>
      </c>
      <c r="F4" s="776"/>
      <c r="G4" s="776"/>
      <c r="H4" s="776" t="s">
        <v>640</v>
      </c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46" t="s">
        <v>2</v>
      </c>
      <c r="V4" s="746"/>
    </row>
    <row r="5" spans="1:22" s="47" customFormat="1" ht="19.5" customHeight="1">
      <c r="A5" s="776"/>
      <c r="B5" s="776"/>
      <c r="C5" s="776"/>
      <c r="D5" s="776"/>
      <c r="E5" s="731" t="s">
        <v>531</v>
      </c>
      <c r="F5" s="731" t="s">
        <v>354</v>
      </c>
      <c r="G5" s="731" t="s">
        <v>635</v>
      </c>
      <c r="H5" s="742" t="s">
        <v>3</v>
      </c>
      <c r="I5" s="741" t="s">
        <v>291</v>
      </c>
      <c r="J5" s="741"/>
      <c r="K5" s="741"/>
      <c r="L5" s="741"/>
      <c r="M5" s="741"/>
      <c r="N5" s="741"/>
      <c r="O5" s="741"/>
      <c r="P5" s="741"/>
      <c r="Q5" s="741"/>
      <c r="R5" s="741"/>
      <c r="S5" s="741"/>
      <c r="T5" s="741"/>
      <c r="U5" s="741" t="s">
        <v>641</v>
      </c>
      <c r="V5" s="741" t="s">
        <v>683</v>
      </c>
    </row>
    <row r="6" spans="1:22" s="47" customFormat="1" ht="69" customHeight="1">
      <c r="A6" s="776"/>
      <c r="B6" s="776"/>
      <c r="C6" s="776"/>
      <c r="D6" s="776"/>
      <c r="E6" s="731"/>
      <c r="F6" s="731"/>
      <c r="G6" s="731"/>
      <c r="H6" s="742"/>
      <c r="I6" s="26" t="s">
        <v>505</v>
      </c>
      <c r="J6" s="26" t="s">
        <v>325</v>
      </c>
      <c r="K6" s="26" t="s">
        <v>507</v>
      </c>
      <c r="L6" s="26" t="s">
        <v>480</v>
      </c>
      <c r="M6" s="26" t="s">
        <v>327</v>
      </c>
      <c r="N6" s="26" t="s">
        <v>326</v>
      </c>
      <c r="O6" s="26" t="s">
        <v>328</v>
      </c>
      <c r="P6" s="26" t="s">
        <v>502</v>
      </c>
      <c r="Q6" s="26" t="s">
        <v>330</v>
      </c>
      <c r="R6" s="26" t="s">
        <v>331</v>
      </c>
      <c r="S6" s="26" t="s">
        <v>503</v>
      </c>
      <c r="T6" s="26" t="s">
        <v>534</v>
      </c>
      <c r="U6" s="741"/>
      <c r="V6" s="741"/>
    </row>
    <row r="7" spans="1:22" s="205" customFormat="1" ht="19.5" customHeight="1">
      <c r="A7" s="166" t="s">
        <v>178</v>
      </c>
      <c r="B7" s="230" t="s">
        <v>312</v>
      </c>
      <c r="C7" s="125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</row>
    <row r="8" spans="1:22" s="45" customFormat="1" ht="35.25" customHeight="1">
      <c r="A8" s="168" t="s">
        <v>167</v>
      </c>
      <c r="B8" s="226" t="s">
        <v>557</v>
      </c>
      <c r="C8" s="169"/>
      <c r="D8" s="170"/>
      <c r="E8" s="170"/>
      <c r="F8" s="170"/>
      <c r="G8" s="228"/>
      <c r="H8" s="228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22" ht="30" customHeight="1">
      <c r="A9" s="92" t="s">
        <v>234</v>
      </c>
      <c r="B9" s="227" t="s">
        <v>596</v>
      </c>
      <c r="C9" s="148" t="s">
        <v>164</v>
      </c>
      <c r="D9" s="791">
        <v>8629</v>
      </c>
      <c r="E9" s="791">
        <v>8900</v>
      </c>
      <c r="F9" s="791"/>
      <c r="G9" s="791">
        <f>E9</f>
        <v>8900</v>
      </c>
      <c r="H9" s="791">
        <f>SUM(I9:T9)</f>
        <v>9134</v>
      </c>
      <c r="I9" s="791">
        <v>1680</v>
      </c>
      <c r="J9" s="791">
        <v>860</v>
      </c>
      <c r="K9" s="791">
        <v>1157</v>
      </c>
      <c r="L9" s="791">
        <v>626</v>
      </c>
      <c r="M9" s="791">
        <v>840</v>
      </c>
      <c r="N9" s="791">
        <v>1045</v>
      </c>
      <c r="O9" s="791">
        <v>475</v>
      </c>
      <c r="P9" s="791">
        <v>561</v>
      </c>
      <c r="Q9" s="791">
        <v>339</v>
      </c>
      <c r="R9" s="791">
        <v>530</v>
      </c>
      <c r="S9" s="791">
        <v>655</v>
      </c>
      <c r="T9" s="791">
        <v>366</v>
      </c>
      <c r="U9" s="799">
        <f>G9/D9*100</f>
        <v>103.14057248812145</v>
      </c>
      <c r="V9" s="799">
        <f>H9/G9*100</f>
        <v>102.62921348314606</v>
      </c>
    </row>
    <row r="10" spans="1:22" ht="36" customHeight="1">
      <c r="A10" s="204"/>
      <c r="B10" s="227" t="s">
        <v>516</v>
      </c>
      <c r="C10" s="148" t="s">
        <v>13</v>
      </c>
      <c r="D10" s="799">
        <f>D9/' Bieu 3 LDVT'!D55*100</f>
        <v>71.65753197143331</v>
      </c>
      <c r="E10" s="799">
        <f>E9/' Bieu 3 LDVT'!E55*100</f>
        <v>71.72791747259832</v>
      </c>
      <c r="F10" s="799"/>
      <c r="G10" s="799">
        <f>G9/' Bieu 3 LDVT'!H55*100</f>
        <v>71.72791747259832</v>
      </c>
      <c r="H10" s="925">
        <f>H9/' Bieu 3 LDVT'!I55*100</f>
        <v>72.89704708699122</v>
      </c>
      <c r="I10" s="799">
        <f>I9/' Bieu 3 LDVT'!J55*100</f>
        <v>80.2675585284281</v>
      </c>
      <c r="J10" s="799">
        <f>J9/' Bieu 3 LDVT'!K55*100</f>
        <v>73.06711979609176</v>
      </c>
      <c r="K10" s="799">
        <f>K9/' Bieu 3 LDVT'!L55*100</f>
        <v>73.60050890585241</v>
      </c>
      <c r="L10" s="799">
        <f>L9/' Bieu 3 LDVT'!M55*100</f>
        <v>74.25860023724793</v>
      </c>
      <c r="M10" s="799">
        <f>M9/' Bieu 3 LDVT'!N55*100</f>
        <v>74.13945278022948</v>
      </c>
      <c r="N10" s="799">
        <f>N9/' Bieu 3 LDVT'!O55*100</f>
        <v>74.48325017818959</v>
      </c>
      <c r="O10" s="799">
        <f>O9/' Bieu 3 LDVT'!P55*100</f>
        <v>68.7409551374819</v>
      </c>
      <c r="P10" s="799">
        <f>P9/' Bieu 3 LDVT'!Q55*100</f>
        <v>68.83435582822086</v>
      </c>
      <c r="Q10" s="799">
        <f>Q9/' Bieu 3 LDVT'!R55*100</f>
        <v>65.44401544401545</v>
      </c>
      <c r="R10" s="799">
        <f>R9/' Bieu 3 LDVT'!S55*100</f>
        <v>68.92067620286085</v>
      </c>
      <c r="S10" s="799">
        <f>S9/' Bieu 3 LDVT'!T55*100</f>
        <v>68.58638743455498</v>
      </c>
      <c r="T10" s="799">
        <f>T9/' Bieu 3 LDVT'!U55*100</f>
        <v>65.24064171122996</v>
      </c>
      <c r="U10" s="799">
        <f>G10-D10</f>
        <v>0.0703855011650063</v>
      </c>
      <c r="V10" s="799">
        <f>H10-E10</f>
        <v>1.1691296143929009</v>
      </c>
    </row>
    <row r="11" spans="1:22" s="51" customFormat="1" ht="19.5" customHeight="1">
      <c r="A11" s="92" t="s">
        <v>238</v>
      </c>
      <c r="B11" s="227" t="s">
        <v>517</v>
      </c>
      <c r="C11" s="148" t="s">
        <v>547</v>
      </c>
      <c r="D11" s="148">
        <v>108</v>
      </c>
      <c r="E11" s="148">
        <v>111</v>
      </c>
      <c r="F11" s="148"/>
      <c r="G11" s="148">
        <v>111</v>
      </c>
      <c r="H11" s="148">
        <f>SUM(I11:T11)</f>
        <v>113</v>
      </c>
      <c r="I11" s="148">
        <v>17</v>
      </c>
      <c r="J11" s="148">
        <v>12</v>
      </c>
      <c r="K11" s="148">
        <v>11</v>
      </c>
      <c r="L11" s="148">
        <v>7</v>
      </c>
      <c r="M11" s="148">
        <v>9</v>
      </c>
      <c r="N11" s="148">
        <v>12</v>
      </c>
      <c r="O11" s="148">
        <v>8</v>
      </c>
      <c r="P11" s="148">
        <v>8</v>
      </c>
      <c r="Q11" s="148">
        <v>5</v>
      </c>
      <c r="R11" s="148">
        <v>7</v>
      </c>
      <c r="S11" s="148">
        <v>11</v>
      </c>
      <c r="T11" s="148">
        <v>6</v>
      </c>
      <c r="U11" s="799">
        <f>G11/D11*100</f>
        <v>102.77777777777777</v>
      </c>
      <c r="V11" s="925">
        <f>H11/G11*100</f>
        <v>101.8018018018018</v>
      </c>
    </row>
    <row r="12" spans="1:22" s="51" customFormat="1" ht="37.5" customHeight="1">
      <c r="A12" s="204" t="s">
        <v>337</v>
      </c>
      <c r="B12" s="227" t="s">
        <v>518</v>
      </c>
      <c r="C12" s="148" t="s">
        <v>13</v>
      </c>
      <c r="D12" s="148">
        <f>D11/120*100</f>
        <v>90</v>
      </c>
      <c r="E12" s="148">
        <f>E11/120*100</f>
        <v>92.5</v>
      </c>
      <c r="F12" s="148"/>
      <c r="G12" s="148">
        <f>G11/120*100</f>
        <v>92.5</v>
      </c>
      <c r="H12" s="799">
        <f>H11/120*100</f>
        <v>94.16666666666667</v>
      </c>
      <c r="I12" s="148">
        <f>I11/17*100</f>
        <v>100</v>
      </c>
      <c r="J12" s="925">
        <f>J11/13*100</f>
        <v>92.3076923076923</v>
      </c>
      <c r="K12" s="925">
        <f>K11/12*100</f>
        <v>91.66666666666666</v>
      </c>
      <c r="L12" s="148">
        <f>L11/8*100</f>
        <v>87.5</v>
      </c>
      <c r="M12" s="148">
        <f>M11/9*100</f>
        <v>100</v>
      </c>
      <c r="N12" s="925">
        <f>N11/13*100</f>
        <v>92.3076923076923</v>
      </c>
      <c r="O12" s="800">
        <f>O11/8*100</f>
        <v>100</v>
      </c>
      <c r="P12" s="925">
        <f>P11/9*100</f>
        <v>88.88888888888889</v>
      </c>
      <c r="Q12" s="925">
        <f>Q11/6*100</f>
        <v>83.33333333333334</v>
      </c>
      <c r="R12" s="800">
        <f>R11/7*100</f>
        <v>100</v>
      </c>
      <c r="S12" s="800">
        <f>S11/11*100</f>
        <v>100</v>
      </c>
      <c r="T12" s="925">
        <f>T11/7*100</f>
        <v>85.71428571428571</v>
      </c>
      <c r="U12" s="148">
        <f>G12-D12</f>
        <v>2.5</v>
      </c>
      <c r="V12" s="799">
        <f>H12-G12</f>
        <v>1.6666666666666714</v>
      </c>
    </row>
    <row r="13" spans="1:22" ht="30.75" customHeight="1">
      <c r="A13" s="92" t="s">
        <v>230</v>
      </c>
      <c r="B13" s="308" t="s">
        <v>617</v>
      </c>
      <c r="C13" s="148" t="s">
        <v>249</v>
      </c>
      <c r="D13" s="148">
        <v>110</v>
      </c>
      <c r="E13" s="148">
        <v>110</v>
      </c>
      <c r="F13" s="148"/>
      <c r="G13" s="148">
        <f>E13</f>
        <v>110</v>
      </c>
      <c r="H13" s="148">
        <f>SUM(I13:T13)</f>
        <v>110</v>
      </c>
      <c r="I13" s="148">
        <v>52</v>
      </c>
      <c r="J13" s="148">
        <v>5</v>
      </c>
      <c r="K13" s="148">
        <v>6</v>
      </c>
      <c r="L13" s="148">
        <v>5</v>
      </c>
      <c r="M13" s="148">
        <v>7</v>
      </c>
      <c r="N13" s="148">
        <v>6</v>
      </c>
      <c r="O13" s="148">
        <v>5</v>
      </c>
      <c r="P13" s="148">
        <v>5</v>
      </c>
      <c r="Q13" s="148">
        <v>4</v>
      </c>
      <c r="R13" s="148">
        <v>6</v>
      </c>
      <c r="S13" s="148">
        <v>5</v>
      </c>
      <c r="T13" s="148">
        <v>4</v>
      </c>
      <c r="U13" s="148">
        <v>100</v>
      </c>
      <c r="V13" s="148">
        <v>100</v>
      </c>
    </row>
    <row r="14" spans="1:22" ht="64.5" customHeight="1">
      <c r="A14" s="204"/>
      <c r="B14" s="227" t="s">
        <v>636</v>
      </c>
      <c r="C14" s="148" t="s">
        <v>13</v>
      </c>
      <c r="D14" s="148">
        <v>100</v>
      </c>
      <c r="E14" s="148">
        <v>100</v>
      </c>
      <c r="F14" s="148"/>
      <c r="G14" s="148">
        <v>100</v>
      </c>
      <c r="H14" s="148">
        <v>100</v>
      </c>
      <c r="I14" s="148">
        <v>100</v>
      </c>
      <c r="J14" s="148">
        <v>100</v>
      </c>
      <c r="K14" s="148">
        <v>100</v>
      </c>
      <c r="L14" s="148">
        <v>100</v>
      </c>
      <c r="M14" s="148">
        <v>100</v>
      </c>
      <c r="N14" s="148">
        <v>100</v>
      </c>
      <c r="O14" s="148">
        <v>100</v>
      </c>
      <c r="P14" s="148">
        <v>100</v>
      </c>
      <c r="Q14" s="148">
        <v>100</v>
      </c>
      <c r="R14" s="148">
        <v>100</v>
      </c>
      <c r="S14" s="148">
        <v>100</v>
      </c>
      <c r="T14" s="148">
        <v>100</v>
      </c>
      <c r="U14" s="148"/>
      <c r="V14" s="148"/>
    </row>
    <row r="15" spans="1:22" ht="35.25" customHeight="1">
      <c r="A15" s="92" t="s">
        <v>231</v>
      </c>
      <c r="B15" s="227" t="s">
        <v>597</v>
      </c>
      <c r="C15" s="175" t="s">
        <v>599</v>
      </c>
      <c r="D15" s="171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4"/>
      <c r="U15" s="94"/>
      <c r="V15" s="94"/>
    </row>
    <row r="16" spans="1:22" ht="35.25" customHeight="1">
      <c r="A16" s="92"/>
      <c r="B16" s="227" t="s">
        <v>598</v>
      </c>
      <c r="C16" s="175" t="s">
        <v>13</v>
      </c>
      <c r="D16" s="171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4"/>
      <c r="U16" s="94"/>
      <c r="V16" s="94"/>
    </row>
    <row r="17" spans="1:22" ht="27.75" customHeight="1">
      <c r="A17" s="168" t="s">
        <v>172</v>
      </c>
      <c r="B17" s="226" t="s">
        <v>227</v>
      </c>
      <c r="C17" s="169"/>
      <c r="D17" s="171"/>
      <c r="E17" s="93"/>
      <c r="F17" s="94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4"/>
      <c r="U17" s="94"/>
      <c r="V17" s="94"/>
    </row>
    <row r="18" spans="1:23" ht="48.75" customHeight="1">
      <c r="A18" s="92" t="s">
        <v>234</v>
      </c>
      <c r="B18" s="227" t="s">
        <v>519</v>
      </c>
      <c r="C18" s="91" t="s">
        <v>520</v>
      </c>
      <c r="D18" s="171">
        <v>3</v>
      </c>
      <c r="E18" s="93">
        <v>3</v>
      </c>
      <c r="F18" s="95">
        <v>3</v>
      </c>
      <c r="G18" s="93">
        <v>3</v>
      </c>
      <c r="H18" s="93">
        <f>SUM(I18:T18)</f>
        <v>3</v>
      </c>
      <c r="I18" s="93"/>
      <c r="J18" s="93">
        <v>1</v>
      </c>
      <c r="K18" s="93"/>
      <c r="L18" s="93"/>
      <c r="M18" s="93">
        <v>1</v>
      </c>
      <c r="N18" s="93"/>
      <c r="O18" s="93"/>
      <c r="P18" s="93"/>
      <c r="Q18" s="93"/>
      <c r="R18" s="93"/>
      <c r="S18" s="93">
        <v>1</v>
      </c>
      <c r="T18" s="93"/>
      <c r="U18" s="95">
        <f>100</f>
        <v>100</v>
      </c>
      <c r="V18" s="95">
        <v>100</v>
      </c>
      <c r="W18" s="311"/>
    </row>
    <row r="19" spans="1:22" ht="36.75" customHeight="1">
      <c r="A19" s="92"/>
      <c r="B19" s="227" t="s">
        <v>693</v>
      </c>
      <c r="C19" s="91" t="s">
        <v>13</v>
      </c>
      <c r="D19" s="95">
        <f>D18/12*100</f>
        <v>25</v>
      </c>
      <c r="E19" s="95">
        <f>E18/12*100</f>
        <v>25</v>
      </c>
      <c r="F19" s="95">
        <f>F18/12*100</f>
        <v>25</v>
      </c>
      <c r="G19" s="95">
        <f>G18/12*100</f>
        <v>25</v>
      </c>
      <c r="H19" s="95">
        <f>H18/12*100</f>
        <v>25</v>
      </c>
      <c r="I19" s="95"/>
      <c r="J19" s="95">
        <v>100</v>
      </c>
      <c r="K19" s="95"/>
      <c r="L19" s="95"/>
      <c r="M19" s="95">
        <v>100</v>
      </c>
      <c r="N19" s="95"/>
      <c r="O19" s="95"/>
      <c r="P19" s="95"/>
      <c r="Q19" s="95"/>
      <c r="R19" s="95"/>
      <c r="S19" s="95">
        <v>100</v>
      </c>
      <c r="T19" s="95"/>
      <c r="U19" s="172"/>
      <c r="V19" s="172"/>
    </row>
    <row r="20" spans="1:22" ht="48.75" customHeight="1">
      <c r="A20" s="92" t="s">
        <v>238</v>
      </c>
      <c r="B20" s="227" t="s">
        <v>521</v>
      </c>
      <c r="C20" s="91" t="s">
        <v>522</v>
      </c>
      <c r="D20" s="95">
        <v>25</v>
      </c>
      <c r="E20" s="95">
        <v>25</v>
      </c>
      <c r="F20" s="95">
        <v>25</v>
      </c>
      <c r="G20" s="93">
        <v>25</v>
      </c>
      <c r="H20" s="93">
        <f>SUM(I20:T20)</f>
        <v>25</v>
      </c>
      <c r="I20" s="95">
        <v>9</v>
      </c>
      <c r="J20" s="95">
        <v>3</v>
      </c>
      <c r="K20" s="95">
        <v>2</v>
      </c>
      <c r="L20" s="95">
        <v>4</v>
      </c>
      <c r="M20" s="95">
        <v>1</v>
      </c>
      <c r="N20" s="94"/>
      <c r="O20" s="94"/>
      <c r="P20" s="95">
        <v>1</v>
      </c>
      <c r="Q20" s="94"/>
      <c r="R20" s="95">
        <v>1</v>
      </c>
      <c r="S20" s="95">
        <v>4</v>
      </c>
      <c r="T20" s="94"/>
      <c r="U20" s="95">
        <v>100</v>
      </c>
      <c r="V20" s="95">
        <v>100</v>
      </c>
    </row>
    <row r="21" spans="1:22" s="51" customFormat="1" ht="38.25" customHeight="1">
      <c r="A21" s="204"/>
      <c r="B21" s="227" t="s">
        <v>228</v>
      </c>
      <c r="C21" s="91" t="s">
        <v>13</v>
      </c>
      <c r="D21" s="272">
        <f>D20/120*100</f>
        <v>20.833333333333336</v>
      </c>
      <c r="E21" s="272">
        <f>E20/120*100</f>
        <v>20.833333333333336</v>
      </c>
      <c r="F21" s="272">
        <f>F20/120*100</f>
        <v>20.833333333333336</v>
      </c>
      <c r="G21" s="272">
        <f>G20/120*100</f>
        <v>20.833333333333336</v>
      </c>
      <c r="H21" s="272">
        <f>H20/120*100</f>
        <v>20.833333333333336</v>
      </c>
      <c r="I21" s="174">
        <f>I20/17*100</f>
        <v>52.94117647058824</v>
      </c>
      <c r="J21" s="174">
        <f>J20/13*100</f>
        <v>23.076923076923077</v>
      </c>
      <c r="K21" s="174">
        <f>K20/12*100</f>
        <v>16.666666666666664</v>
      </c>
      <c r="L21" s="93">
        <f>L20/8*100</f>
        <v>50</v>
      </c>
      <c r="M21" s="174">
        <f>M20/9*100</f>
        <v>11.11111111111111</v>
      </c>
      <c r="N21" s="174"/>
      <c r="O21" s="174"/>
      <c r="P21" s="174">
        <f>P20/9*100</f>
        <v>11.11111111111111</v>
      </c>
      <c r="Q21" s="174"/>
      <c r="R21" s="174">
        <f>R20/7*100</f>
        <v>14.285714285714285</v>
      </c>
      <c r="S21" s="174">
        <f>S20/11*100</f>
        <v>36.36363636363637</v>
      </c>
      <c r="T21" s="93"/>
      <c r="U21" s="94"/>
      <c r="V21" s="94"/>
    </row>
    <row r="22" spans="1:22" ht="47.25" customHeight="1">
      <c r="A22" s="92" t="s">
        <v>230</v>
      </c>
      <c r="B22" s="227" t="s">
        <v>229</v>
      </c>
      <c r="C22" s="91" t="s">
        <v>13</v>
      </c>
      <c r="D22" s="171">
        <v>100</v>
      </c>
      <c r="E22" s="171">
        <v>100</v>
      </c>
      <c r="F22" s="171">
        <v>100</v>
      </c>
      <c r="G22" s="171">
        <v>100</v>
      </c>
      <c r="H22" s="171">
        <v>100</v>
      </c>
      <c r="I22" s="171">
        <v>100</v>
      </c>
      <c r="J22" s="171">
        <v>100</v>
      </c>
      <c r="K22" s="171">
        <v>100</v>
      </c>
      <c r="L22" s="171">
        <v>100</v>
      </c>
      <c r="M22" s="171">
        <v>100</v>
      </c>
      <c r="N22" s="171">
        <v>100</v>
      </c>
      <c r="O22" s="171">
        <v>100</v>
      </c>
      <c r="P22" s="171">
        <v>100</v>
      </c>
      <c r="Q22" s="171">
        <v>100</v>
      </c>
      <c r="R22" s="171">
        <v>100</v>
      </c>
      <c r="S22" s="171">
        <v>100</v>
      </c>
      <c r="T22" s="171">
        <v>100</v>
      </c>
      <c r="U22" s="94"/>
      <c r="V22" s="94"/>
    </row>
    <row r="23" spans="1:22" ht="57" customHeight="1">
      <c r="A23" s="92" t="s">
        <v>231</v>
      </c>
      <c r="B23" s="227" t="s">
        <v>163</v>
      </c>
      <c r="C23" s="91" t="s">
        <v>13</v>
      </c>
      <c r="D23" s="171"/>
      <c r="E23" s="93"/>
      <c r="F23" s="95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4"/>
      <c r="V23" s="94"/>
    </row>
    <row r="24" spans="1:22" ht="33" customHeight="1">
      <c r="A24" s="166" t="s">
        <v>173</v>
      </c>
      <c r="B24" s="230" t="s">
        <v>426</v>
      </c>
      <c r="C24" s="125"/>
      <c r="D24" s="171"/>
      <c r="E24" s="93"/>
      <c r="F24" s="167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4"/>
      <c r="U24" s="94"/>
      <c r="V24" s="94"/>
    </row>
    <row r="25" spans="1:22" ht="19.5" customHeight="1">
      <c r="A25" s="92"/>
      <c r="B25" s="227" t="s">
        <v>425</v>
      </c>
      <c r="C25" s="91" t="s">
        <v>275</v>
      </c>
      <c r="D25" s="171"/>
      <c r="E25" s="93"/>
      <c r="F25" s="17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5"/>
      <c r="U25" s="95"/>
      <c r="V25" s="95"/>
    </row>
    <row r="26" spans="1:22" ht="30" customHeight="1">
      <c r="A26" s="92" t="s">
        <v>234</v>
      </c>
      <c r="B26" s="227" t="s">
        <v>549</v>
      </c>
      <c r="C26" s="91" t="s">
        <v>423</v>
      </c>
      <c r="D26" s="171">
        <v>1</v>
      </c>
      <c r="E26" s="171">
        <v>1</v>
      </c>
      <c r="F26" s="171">
        <v>1</v>
      </c>
      <c r="G26" s="171">
        <v>1</v>
      </c>
      <c r="H26" s="171">
        <v>1</v>
      </c>
      <c r="I26" s="171">
        <v>1</v>
      </c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5"/>
      <c r="U26" s="95">
        <v>100</v>
      </c>
      <c r="V26" s="95">
        <v>100</v>
      </c>
    </row>
    <row r="27" spans="1:22" ht="34.5" customHeight="1">
      <c r="A27" s="92" t="s">
        <v>238</v>
      </c>
      <c r="B27" s="227" t="s">
        <v>600</v>
      </c>
      <c r="C27" s="91" t="s">
        <v>275</v>
      </c>
      <c r="D27" s="171">
        <v>1</v>
      </c>
      <c r="E27" s="171">
        <v>1</v>
      </c>
      <c r="F27" s="171">
        <v>1</v>
      </c>
      <c r="G27" s="171">
        <v>1</v>
      </c>
      <c r="H27" s="171">
        <v>1</v>
      </c>
      <c r="I27" s="171">
        <v>1</v>
      </c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5"/>
      <c r="U27" s="95">
        <v>100</v>
      </c>
      <c r="V27" s="95">
        <v>100</v>
      </c>
    </row>
    <row r="28" spans="1:22" ht="34.5" customHeight="1">
      <c r="A28" s="92" t="s">
        <v>230</v>
      </c>
      <c r="B28" s="227" t="s">
        <v>601</v>
      </c>
      <c r="C28" s="91" t="s">
        <v>275</v>
      </c>
      <c r="D28" s="171">
        <v>1</v>
      </c>
      <c r="E28" s="171">
        <v>1</v>
      </c>
      <c r="F28" s="171">
        <v>1</v>
      </c>
      <c r="G28" s="171">
        <v>1</v>
      </c>
      <c r="H28" s="171">
        <v>1</v>
      </c>
      <c r="I28" s="171">
        <v>1</v>
      </c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5"/>
      <c r="U28" s="95">
        <v>100</v>
      </c>
      <c r="V28" s="95">
        <v>100</v>
      </c>
    </row>
    <row r="29" spans="1:22" s="576" customFormat="1" ht="35.25" customHeight="1">
      <c r="A29" s="92" t="s">
        <v>231</v>
      </c>
      <c r="B29" s="227" t="s">
        <v>602</v>
      </c>
      <c r="C29" s="91" t="s">
        <v>136</v>
      </c>
      <c r="D29" s="171">
        <v>9</v>
      </c>
      <c r="E29" s="93">
        <v>10</v>
      </c>
      <c r="F29" s="173">
        <v>9</v>
      </c>
      <c r="G29" s="93">
        <v>9</v>
      </c>
      <c r="H29" s="93">
        <f>SUM(I29:T29)</f>
        <v>10</v>
      </c>
      <c r="I29" s="93"/>
      <c r="J29" s="93">
        <v>1</v>
      </c>
      <c r="K29" s="93">
        <v>1</v>
      </c>
      <c r="L29" s="93">
        <v>1</v>
      </c>
      <c r="M29" s="93">
        <v>1</v>
      </c>
      <c r="N29" s="93">
        <v>1</v>
      </c>
      <c r="O29" s="93">
        <v>1</v>
      </c>
      <c r="P29" s="93">
        <v>1</v>
      </c>
      <c r="Q29" s="93">
        <v>1</v>
      </c>
      <c r="R29" s="93">
        <v>1</v>
      </c>
      <c r="S29" s="93">
        <v>1</v>
      </c>
      <c r="T29" s="93"/>
      <c r="U29" s="95">
        <v>100</v>
      </c>
      <c r="V29" s="172">
        <f>H29/G29*100</f>
        <v>111.11111111111111</v>
      </c>
    </row>
    <row r="30" spans="1:22" s="576" customFormat="1" ht="38.25" customHeight="1">
      <c r="A30" s="204"/>
      <c r="B30" s="227" t="s">
        <v>523</v>
      </c>
      <c r="C30" s="91" t="s">
        <v>13</v>
      </c>
      <c r="D30" s="171">
        <f>D29/12*100</f>
        <v>75</v>
      </c>
      <c r="E30" s="272">
        <f>E29/12*100</f>
        <v>83.33333333333334</v>
      </c>
      <c r="F30" s="171">
        <f>F29/12*100</f>
        <v>75</v>
      </c>
      <c r="G30" s="171">
        <f>G29/12*100</f>
        <v>75</v>
      </c>
      <c r="H30" s="272">
        <f>H29/12*100</f>
        <v>83.33333333333334</v>
      </c>
      <c r="I30" s="95"/>
      <c r="J30" s="93">
        <v>100</v>
      </c>
      <c r="K30" s="93">
        <v>100</v>
      </c>
      <c r="L30" s="93">
        <v>100</v>
      </c>
      <c r="M30" s="93">
        <v>100</v>
      </c>
      <c r="N30" s="93">
        <v>100</v>
      </c>
      <c r="O30" s="93">
        <v>100</v>
      </c>
      <c r="P30" s="93">
        <v>100</v>
      </c>
      <c r="Q30" s="93">
        <v>100</v>
      </c>
      <c r="R30" s="93">
        <v>100</v>
      </c>
      <c r="S30" s="93">
        <v>100</v>
      </c>
      <c r="T30" s="94"/>
      <c r="U30" s="94"/>
      <c r="V30" s="172">
        <f>H30-G30</f>
        <v>8.333333333333343</v>
      </c>
    </row>
    <row r="31" spans="1:22" s="576" customFormat="1" ht="33" customHeight="1">
      <c r="A31" s="92" t="s">
        <v>548</v>
      </c>
      <c r="B31" s="227" t="s">
        <v>603</v>
      </c>
      <c r="C31" s="91" t="s">
        <v>276</v>
      </c>
      <c r="D31" s="96">
        <v>50</v>
      </c>
      <c r="E31" s="96">
        <v>60</v>
      </c>
      <c r="F31" s="96">
        <v>50</v>
      </c>
      <c r="G31" s="96">
        <v>50</v>
      </c>
      <c r="H31" s="96">
        <f>SUM(I31:T31)</f>
        <v>60</v>
      </c>
      <c r="I31" s="96">
        <v>10</v>
      </c>
      <c r="J31" s="96">
        <v>5</v>
      </c>
      <c r="K31" s="96">
        <v>10</v>
      </c>
      <c r="L31" s="96">
        <v>6</v>
      </c>
      <c r="M31" s="96">
        <v>6</v>
      </c>
      <c r="N31" s="96">
        <v>11</v>
      </c>
      <c r="O31" s="96">
        <v>1</v>
      </c>
      <c r="P31" s="96">
        <v>3</v>
      </c>
      <c r="Q31" s="96">
        <v>1</v>
      </c>
      <c r="R31" s="96">
        <v>3</v>
      </c>
      <c r="S31" s="96">
        <v>2</v>
      </c>
      <c r="T31" s="96">
        <v>2</v>
      </c>
      <c r="U31" s="96">
        <v>100</v>
      </c>
      <c r="V31" s="96">
        <f>H31/G31*100</f>
        <v>120</v>
      </c>
    </row>
    <row r="32" spans="1:22" s="576" customFormat="1" ht="31.5" customHeight="1">
      <c r="A32" s="204"/>
      <c r="B32" s="227" t="s">
        <v>604</v>
      </c>
      <c r="C32" s="91" t="s">
        <v>13</v>
      </c>
      <c r="D32" s="172">
        <f>D31/120*100</f>
        <v>41.66666666666667</v>
      </c>
      <c r="E32" s="95">
        <f>E31/120*100</f>
        <v>50</v>
      </c>
      <c r="F32" s="172">
        <f>F31/120*100</f>
        <v>41.66666666666667</v>
      </c>
      <c r="G32" s="172">
        <f>G31/120*100</f>
        <v>41.66666666666667</v>
      </c>
      <c r="H32" s="95">
        <f>H31/120*100</f>
        <v>50</v>
      </c>
      <c r="I32" s="94">
        <f>I31/17*100</f>
        <v>58.82352941176471</v>
      </c>
      <c r="J32" s="94">
        <f>J31/13*100</f>
        <v>38.46153846153847</v>
      </c>
      <c r="K32" s="94">
        <f>K31/12*100</f>
        <v>83.33333333333334</v>
      </c>
      <c r="L32" s="95">
        <f>L31/8*100</f>
        <v>75</v>
      </c>
      <c r="M32" s="94">
        <f>M31/9*100</f>
        <v>66.66666666666666</v>
      </c>
      <c r="N32" s="94">
        <f>N31/13*100</f>
        <v>84.61538461538461</v>
      </c>
      <c r="O32" s="94">
        <f>O31/8*100</f>
        <v>12.5</v>
      </c>
      <c r="P32" s="94">
        <f>P31/9*100</f>
        <v>33.33333333333333</v>
      </c>
      <c r="Q32" s="94">
        <f>Q31/6*100</f>
        <v>16.666666666666664</v>
      </c>
      <c r="R32" s="94">
        <f>R31/7*100</f>
        <v>42.857142857142854</v>
      </c>
      <c r="S32" s="94">
        <f>S31/11*100</f>
        <v>18.181818181818183</v>
      </c>
      <c r="T32" s="94">
        <f>T31/7*100</f>
        <v>28.57142857142857</v>
      </c>
      <c r="U32" s="172"/>
      <c r="V32" s="172">
        <f>H32-G32</f>
        <v>8.333333333333329</v>
      </c>
    </row>
    <row r="33" spans="1:22" ht="33" customHeight="1">
      <c r="A33" s="574" t="s">
        <v>240</v>
      </c>
      <c r="B33" s="571" t="s">
        <v>427</v>
      </c>
      <c r="C33" s="572" t="s">
        <v>276</v>
      </c>
      <c r="D33" s="573">
        <v>24</v>
      </c>
      <c r="E33" s="573">
        <v>24</v>
      </c>
      <c r="F33" s="573">
        <v>24</v>
      </c>
      <c r="G33" s="573">
        <v>24</v>
      </c>
      <c r="H33" s="575">
        <f>SUM(I33:T33)</f>
        <v>24</v>
      </c>
      <c r="I33" s="573">
        <v>2</v>
      </c>
      <c r="J33" s="573">
        <v>2</v>
      </c>
      <c r="K33" s="573">
        <v>2</v>
      </c>
      <c r="L33" s="573">
        <v>2</v>
      </c>
      <c r="M33" s="573">
        <v>2</v>
      </c>
      <c r="N33" s="573">
        <v>2</v>
      </c>
      <c r="O33" s="573">
        <v>2</v>
      </c>
      <c r="P33" s="573">
        <v>2</v>
      </c>
      <c r="Q33" s="573">
        <v>2</v>
      </c>
      <c r="R33" s="573">
        <v>2</v>
      </c>
      <c r="S33" s="573">
        <v>2</v>
      </c>
      <c r="T33" s="573">
        <v>2</v>
      </c>
      <c r="U33" s="573">
        <v>100</v>
      </c>
      <c r="V33" s="573">
        <v>100</v>
      </c>
    </row>
    <row r="34" spans="1:22" s="51" customFormat="1" ht="19.5" customHeight="1">
      <c r="A34" s="204"/>
      <c r="B34" s="227" t="s">
        <v>250</v>
      </c>
      <c r="C34" s="91" t="s">
        <v>13</v>
      </c>
      <c r="D34" s="171">
        <f>D33/120*100</f>
        <v>20</v>
      </c>
      <c r="E34" s="171">
        <f>E33/120*100</f>
        <v>20</v>
      </c>
      <c r="F34" s="171">
        <f>F33/120*100</f>
        <v>20</v>
      </c>
      <c r="G34" s="171">
        <f>G33/120*100</f>
        <v>20</v>
      </c>
      <c r="H34" s="171">
        <f>H33/120*100</f>
        <v>20</v>
      </c>
      <c r="I34" s="94">
        <f>I33/17*100</f>
        <v>11.76470588235294</v>
      </c>
      <c r="J34" s="94">
        <f>J33/13*100</f>
        <v>15.384615384615385</v>
      </c>
      <c r="K34" s="94">
        <f>K33/12*100</f>
        <v>16.666666666666664</v>
      </c>
      <c r="L34" s="95">
        <f>L33/8*100</f>
        <v>25</v>
      </c>
      <c r="M34" s="94">
        <f>M33/9*100</f>
        <v>22.22222222222222</v>
      </c>
      <c r="N34" s="94">
        <f>N33/13*100</f>
        <v>15.384615384615385</v>
      </c>
      <c r="O34" s="95">
        <f>O33/8*100</f>
        <v>25</v>
      </c>
      <c r="P34" s="94">
        <f>P33/9*100</f>
        <v>22.22222222222222</v>
      </c>
      <c r="Q34" s="94">
        <f>Q33/6*100</f>
        <v>33.33333333333333</v>
      </c>
      <c r="R34" s="94">
        <f>R33/7*100</f>
        <v>28.57142857142857</v>
      </c>
      <c r="S34" s="94">
        <f>S33/11*100</f>
        <v>18.181818181818183</v>
      </c>
      <c r="T34" s="94">
        <f>T33/7*100</f>
        <v>28.57142857142857</v>
      </c>
      <c r="U34" s="94"/>
      <c r="V34" s="94"/>
    </row>
    <row r="35" spans="1:22" ht="19.5" customHeight="1">
      <c r="A35" s="166" t="s">
        <v>174</v>
      </c>
      <c r="B35" s="230" t="s">
        <v>232</v>
      </c>
      <c r="C35" s="125"/>
      <c r="D35" s="171"/>
      <c r="E35" s="174"/>
      <c r="F35" s="17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4"/>
      <c r="U35" s="94"/>
      <c r="V35" s="94"/>
    </row>
    <row r="36" spans="1:22" ht="31.5" customHeight="1">
      <c r="A36" s="92" t="s">
        <v>234</v>
      </c>
      <c r="B36" s="227" t="s">
        <v>582</v>
      </c>
      <c r="C36" s="91" t="s">
        <v>428</v>
      </c>
      <c r="D36" s="171">
        <v>6270</v>
      </c>
      <c r="E36" s="93">
        <v>7500</v>
      </c>
      <c r="F36" s="93">
        <v>18500</v>
      </c>
      <c r="G36" s="93">
        <v>22000</v>
      </c>
      <c r="H36" s="93">
        <v>25000</v>
      </c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4"/>
      <c r="U36" s="172">
        <f>G36/D36*100</f>
        <v>350.8771929824561</v>
      </c>
      <c r="V36" s="95">
        <f>H36/G36*100</f>
        <v>113.63636363636364</v>
      </c>
    </row>
    <row r="37" spans="1:22" ht="31.5" customHeight="1">
      <c r="A37" s="204"/>
      <c r="B37" s="231" t="s">
        <v>429</v>
      </c>
      <c r="C37" s="91" t="s">
        <v>428</v>
      </c>
      <c r="D37" s="171">
        <v>15</v>
      </c>
      <c r="E37" s="93">
        <v>15</v>
      </c>
      <c r="F37" s="95">
        <v>200</v>
      </c>
      <c r="G37" s="93">
        <v>200</v>
      </c>
      <c r="H37" s="93">
        <v>200</v>
      </c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4"/>
      <c r="U37" s="271">
        <f>G37/D37*100</f>
        <v>1333.3333333333335</v>
      </c>
      <c r="V37" s="95">
        <f>H37/G37*100</f>
        <v>100</v>
      </c>
    </row>
    <row r="38" spans="1:22" ht="33.75" customHeight="1">
      <c r="A38" s="204" t="s">
        <v>238</v>
      </c>
      <c r="B38" s="227" t="s">
        <v>233</v>
      </c>
      <c r="C38" s="91" t="s">
        <v>158</v>
      </c>
      <c r="D38" s="171">
        <v>6</v>
      </c>
      <c r="E38" s="93">
        <v>6</v>
      </c>
      <c r="F38" s="173">
        <v>6</v>
      </c>
      <c r="G38" s="93">
        <v>6</v>
      </c>
      <c r="H38" s="173">
        <v>6</v>
      </c>
      <c r="I38" s="173"/>
      <c r="J38" s="173"/>
      <c r="K38" s="173">
        <v>2</v>
      </c>
      <c r="L38" s="173">
        <v>1</v>
      </c>
      <c r="M38" s="173"/>
      <c r="N38" s="173"/>
      <c r="O38" s="173"/>
      <c r="P38" s="173">
        <v>1</v>
      </c>
      <c r="Q38" s="173"/>
      <c r="R38" s="173"/>
      <c r="S38" s="173">
        <v>1</v>
      </c>
      <c r="T38" s="95">
        <v>1</v>
      </c>
      <c r="U38" s="95">
        <v>100</v>
      </c>
      <c r="V38" s="95">
        <v>100</v>
      </c>
    </row>
    <row r="39" spans="1:22" ht="19.5" customHeight="1">
      <c r="A39" s="166" t="s">
        <v>4</v>
      </c>
      <c r="B39" s="230" t="s">
        <v>605</v>
      </c>
      <c r="C39" s="91"/>
      <c r="D39" s="171"/>
      <c r="E39" s="93"/>
      <c r="F39" s="176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4"/>
      <c r="U39" s="94"/>
      <c r="V39" s="94"/>
    </row>
    <row r="40" spans="1:22" ht="19.5" customHeight="1">
      <c r="A40" s="168" t="s">
        <v>167</v>
      </c>
      <c r="B40" s="226" t="s">
        <v>160</v>
      </c>
      <c r="C40" s="177"/>
      <c r="D40" s="171"/>
      <c r="E40" s="93"/>
      <c r="F40" s="172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/>
      <c r="U40" s="94"/>
      <c r="V40" s="94"/>
    </row>
    <row r="41" spans="1:22" ht="36.75" customHeight="1">
      <c r="A41" s="203" t="s">
        <v>234</v>
      </c>
      <c r="B41" s="227" t="s">
        <v>558</v>
      </c>
      <c r="C41" s="91" t="s">
        <v>141</v>
      </c>
      <c r="D41" s="171">
        <v>13732</v>
      </c>
      <c r="E41" s="93">
        <v>18872</v>
      </c>
      <c r="F41" s="176">
        <v>18000</v>
      </c>
      <c r="G41" s="93">
        <f>E41</f>
        <v>18872</v>
      </c>
      <c r="H41" s="93">
        <f>SUM(I41:T41)</f>
        <v>19369.85</v>
      </c>
      <c r="I41" s="171">
        <f>' Bieu 3 LDVT'!J9*55%</f>
        <v>4778.950000000001</v>
      </c>
      <c r="J41" s="171">
        <f>' Bieu 3 LDVT'!K9*25%</f>
        <v>1513.75</v>
      </c>
      <c r="K41" s="171">
        <f>' Bieu 3 LDVT'!L9*35%</f>
        <v>2642.1499999999996</v>
      </c>
      <c r="L41" s="171">
        <f>' Bieu 3 LDVT'!M9*25%</f>
        <v>1108.75</v>
      </c>
      <c r="M41" s="171">
        <f>' Bieu 3 LDVT'!N9*25%</f>
        <v>1483.75</v>
      </c>
      <c r="N41" s="171">
        <f>' Bieu 3 LDVT'!O9*25%</f>
        <v>1825.75</v>
      </c>
      <c r="O41" s="171">
        <f>' Bieu 3 LDVT'!P9*25%</f>
        <v>938.5</v>
      </c>
      <c r="P41" s="171">
        <f>' Bieu 3 LDVT'!Q9*25%</f>
        <v>1063.75</v>
      </c>
      <c r="Q41" s="171">
        <f>' Bieu 3 LDVT'!R9*25%</f>
        <v>750</v>
      </c>
      <c r="R41" s="171">
        <f>' Bieu 3 LDVT'!S9*25%</f>
        <v>1128</v>
      </c>
      <c r="S41" s="171">
        <f>' Bieu 3 LDVT'!T9*25%</f>
        <v>1390.25</v>
      </c>
      <c r="T41" s="171">
        <f>' Bieu 3 LDVT'!U9*25%</f>
        <v>746.25</v>
      </c>
      <c r="U41" s="172">
        <f>G41/D41*100</f>
        <v>137.43081852607048</v>
      </c>
      <c r="V41" s="172">
        <f>H41/G41*100</f>
        <v>102.63803518440015</v>
      </c>
    </row>
    <row r="42" spans="1:22" ht="48.75" customHeight="1">
      <c r="A42" s="178"/>
      <c r="B42" s="227" t="s">
        <v>241</v>
      </c>
      <c r="C42" s="91" t="s">
        <v>13</v>
      </c>
      <c r="D42" s="171">
        <v>22</v>
      </c>
      <c r="E42" s="171">
        <v>30</v>
      </c>
      <c r="F42" s="271">
        <v>28.67</v>
      </c>
      <c r="G42" s="271">
        <f>G41/' Bieu 3 LDVT'!H9*100</f>
        <v>30.061486508012358</v>
      </c>
      <c r="H42" s="271">
        <f>H41/' Bieu 3 LDVT'!I9*100</f>
        <v>30.24979307544547</v>
      </c>
      <c r="I42" s="171">
        <f>I41/' Bieu 3 LDVT'!J9*100</f>
        <v>55.00000000000001</v>
      </c>
      <c r="J42" s="171">
        <v>25</v>
      </c>
      <c r="K42" s="171">
        <v>35</v>
      </c>
      <c r="L42" s="171">
        <v>25</v>
      </c>
      <c r="M42" s="171">
        <v>25</v>
      </c>
      <c r="N42" s="171">
        <v>25</v>
      </c>
      <c r="O42" s="171">
        <v>25</v>
      </c>
      <c r="P42" s="171">
        <v>25</v>
      </c>
      <c r="Q42" s="171">
        <v>25</v>
      </c>
      <c r="R42" s="171">
        <v>25</v>
      </c>
      <c r="S42" s="171">
        <v>25</v>
      </c>
      <c r="T42" s="171">
        <f>T41/' Bieu 3 LDVT'!U9*100</f>
        <v>25</v>
      </c>
      <c r="U42" s="172">
        <f>G42-D42</f>
        <v>8.061486508012358</v>
      </c>
      <c r="V42" s="172">
        <f>H42-G42</f>
        <v>0.1883065674331128</v>
      </c>
    </row>
    <row r="43" spans="1:22" ht="36.75" customHeight="1">
      <c r="A43" s="203" t="s">
        <v>238</v>
      </c>
      <c r="B43" s="227" t="s">
        <v>606</v>
      </c>
      <c r="C43" s="91" t="s">
        <v>235</v>
      </c>
      <c r="D43" s="171">
        <v>1862</v>
      </c>
      <c r="E43" s="93">
        <v>2609</v>
      </c>
      <c r="F43" s="176">
        <v>2500</v>
      </c>
      <c r="G43" s="93">
        <v>2609</v>
      </c>
      <c r="H43" s="93">
        <f>SUM(I43:T43)</f>
        <v>2977.01</v>
      </c>
      <c r="I43" s="93">
        <f>' Bieu 3 LDVT'!J55*27%</f>
        <v>565.11</v>
      </c>
      <c r="J43" s="93">
        <f>' Bieu 3 LDVT'!K55*25%</f>
        <v>294.25</v>
      </c>
      <c r="K43" s="93">
        <f>' Bieu 3 LDVT'!L55*25%</f>
        <v>393</v>
      </c>
      <c r="L43" s="93">
        <f>' Bieu 3 LDVT'!M55*23%</f>
        <v>193.89000000000001</v>
      </c>
      <c r="M43" s="93">
        <f>' Bieu 3 LDVT'!N55*21%</f>
        <v>237.92999999999998</v>
      </c>
      <c r="N43" s="93">
        <f>' Bieu 3 LDVT'!O55*23%</f>
        <v>322.69</v>
      </c>
      <c r="O43" s="93">
        <f>' Bieu 3 LDVT'!P55*22%</f>
        <v>152.02</v>
      </c>
      <c r="P43" s="93">
        <f>' Bieu 3 LDVT'!Q55*24%</f>
        <v>195.6</v>
      </c>
      <c r="Q43" s="93">
        <f>' Bieu 3 LDVT'!R55*19%</f>
        <v>98.42</v>
      </c>
      <c r="R43" s="93">
        <f>' Bieu 3 LDVT'!S55*25%</f>
        <v>192.25</v>
      </c>
      <c r="S43" s="93">
        <f>' Bieu 3 LDVT'!T55*23%</f>
        <v>219.65</v>
      </c>
      <c r="T43" s="93">
        <f>' Bieu 3 LDVT'!U55*20%</f>
        <v>112.2</v>
      </c>
      <c r="U43" s="172">
        <f>G43/D43*100</f>
        <v>140.11815252416758</v>
      </c>
      <c r="V43" s="172">
        <f>H43/G43*100</f>
        <v>114.10540436949023</v>
      </c>
    </row>
    <row r="44" spans="1:22" ht="50.25" customHeight="1">
      <c r="A44" s="178"/>
      <c r="B44" s="227" t="s">
        <v>607</v>
      </c>
      <c r="C44" s="91" t="s">
        <v>13</v>
      </c>
      <c r="D44" s="272">
        <v>15</v>
      </c>
      <c r="E44" s="171">
        <v>21</v>
      </c>
      <c r="F44" s="272">
        <f>F43/' Bieu 3 LDVT'!G55*100</f>
        <v>20.760670984886232</v>
      </c>
      <c r="G44" s="171">
        <f>G43/' Bieu 3 LDVT'!H55*100</f>
        <v>21.02675693101225</v>
      </c>
      <c r="H44" s="171">
        <f>H43/' Bieu 3 LDVT'!I55*100</f>
        <v>23.759058260175582</v>
      </c>
      <c r="I44" s="171">
        <f>I43/' Bieu 3 LDVT'!J55*100</f>
        <v>27</v>
      </c>
      <c r="J44" s="171">
        <f>J43/' Bieu 3 LDVT'!K55*100</f>
        <v>25</v>
      </c>
      <c r="K44" s="171">
        <f>K43/' Bieu 3 LDVT'!L55*100</f>
        <v>25</v>
      </c>
      <c r="L44" s="171">
        <f>L43/' Bieu 3 LDVT'!M55*100</f>
        <v>23</v>
      </c>
      <c r="M44" s="171">
        <f>M43/' Bieu 3 LDVT'!N55*100</f>
        <v>21</v>
      </c>
      <c r="N44" s="171">
        <f>N43/' Bieu 3 LDVT'!O55*100</f>
        <v>23</v>
      </c>
      <c r="O44" s="171">
        <f>O43/' Bieu 3 LDVT'!P55*100</f>
        <v>22</v>
      </c>
      <c r="P44" s="171">
        <f>P43/' Bieu 3 LDVT'!Q55*100</f>
        <v>24</v>
      </c>
      <c r="Q44" s="171">
        <f>Q43/' Bieu 3 LDVT'!R55*100</f>
        <v>19</v>
      </c>
      <c r="R44" s="171">
        <f>R43/' Bieu 3 LDVT'!S55*100</f>
        <v>25</v>
      </c>
      <c r="S44" s="171">
        <f>S43/' Bieu 3 LDVT'!T55*100</f>
        <v>23</v>
      </c>
      <c r="T44" s="171">
        <f>T43/' Bieu 3 LDVT'!U55*100</f>
        <v>20</v>
      </c>
      <c r="U44" s="172">
        <f>G44-D44</f>
        <v>6.026756931012251</v>
      </c>
      <c r="V44" s="172">
        <f>H44-G44</f>
        <v>2.732301329163331</v>
      </c>
    </row>
    <row r="45" spans="1:22" ht="33" customHeight="1">
      <c r="A45" s="178" t="s">
        <v>230</v>
      </c>
      <c r="B45" s="227" t="s">
        <v>236</v>
      </c>
      <c r="C45" s="91" t="s">
        <v>524</v>
      </c>
      <c r="D45" s="171">
        <v>29</v>
      </c>
      <c r="E45" s="93">
        <v>34</v>
      </c>
      <c r="F45" s="176">
        <v>34</v>
      </c>
      <c r="G45" s="93">
        <v>34</v>
      </c>
      <c r="H45" s="93">
        <f>SUM(I45:T45)</f>
        <v>34</v>
      </c>
      <c r="I45" s="95">
        <v>23</v>
      </c>
      <c r="J45" s="95">
        <v>1</v>
      </c>
      <c r="K45" s="95">
        <v>1</v>
      </c>
      <c r="L45" s="95">
        <v>1</v>
      </c>
      <c r="M45" s="95">
        <v>1</v>
      </c>
      <c r="N45" s="95">
        <v>1</v>
      </c>
      <c r="O45" s="95">
        <v>1</v>
      </c>
      <c r="P45" s="95">
        <v>1</v>
      </c>
      <c r="Q45" s="95">
        <v>1</v>
      </c>
      <c r="R45" s="95">
        <v>1</v>
      </c>
      <c r="S45" s="95">
        <v>1</v>
      </c>
      <c r="T45" s="95">
        <v>1</v>
      </c>
      <c r="U45" s="172">
        <f>G45/D45*100</f>
        <v>117.24137931034481</v>
      </c>
      <c r="V45" s="172">
        <f>H45/G45*100</f>
        <v>100</v>
      </c>
    </row>
    <row r="46" spans="1:22" ht="19.5" customHeight="1">
      <c r="A46" s="168" t="s">
        <v>172</v>
      </c>
      <c r="B46" s="226" t="s">
        <v>161</v>
      </c>
      <c r="C46" s="91"/>
      <c r="D46" s="171"/>
      <c r="E46" s="93"/>
      <c r="F46" s="176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/>
      <c r="U46" s="94"/>
      <c r="V46" s="94"/>
    </row>
    <row r="47" spans="1:22" ht="34.5" customHeight="1">
      <c r="A47" s="203" t="s">
        <v>234</v>
      </c>
      <c r="B47" s="227" t="s">
        <v>608</v>
      </c>
      <c r="C47" s="91" t="s">
        <v>239</v>
      </c>
      <c r="D47" s="171"/>
      <c r="E47" s="93"/>
      <c r="F47" s="176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5"/>
      <c r="U47" s="95"/>
      <c r="V47" s="95"/>
    </row>
    <row r="48" spans="1:22" ht="26.25" customHeight="1">
      <c r="A48" s="178"/>
      <c r="B48" s="227" t="s">
        <v>550</v>
      </c>
      <c r="C48" s="91" t="s">
        <v>609</v>
      </c>
      <c r="D48" s="171"/>
      <c r="E48" s="93"/>
      <c r="F48" s="95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5"/>
      <c r="U48" s="95"/>
      <c r="V48" s="95"/>
    </row>
    <row r="49" spans="1:32" ht="33.75" customHeight="1">
      <c r="A49" s="203" t="s">
        <v>548</v>
      </c>
      <c r="B49" s="227" t="s">
        <v>551</v>
      </c>
      <c r="C49" s="91" t="s">
        <v>525</v>
      </c>
      <c r="D49" s="93"/>
      <c r="E49" s="93"/>
      <c r="F49" s="93"/>
      <c r="G49" s="93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4"/>
      <c r="U49" s="95"/>
      <c r="V49" s="95"/>
      <c r="W49" s="165"/>
      <c r="X49" s="94"/>
      <c r="Y49" s="94"/>
      <c r="Z49" s="94"/>
      <c r="AA49" s="94"/>
      <c r="AB49" s="94"/>
      <c r="AC49" s="94"/>
      <c r="AD49" s="94"/>
      <c r="AE49" s="95" t="e">
        <f>F49/D49*100</f>
        <v>#DIV/0!</v>
      </c>
      <c r="AF49" s="96"/>
    </row>
    <row r="50" spans="1:32" ht="33.75" customHeight="1" hidden="1">
      <c r="A50" s="203"/>
      <c r="B50" s="227" t="s">
        <v>610</v>
      </c>
      <c r="C50" s="91" t="s">
        <v>525</v>
      </c>
      <c r="D50" s="93"/>
      <c r="E50" s="93"/>
      <c r="F50" s="93"/>
      <c r="G50" s="93">
        <f>E50</f>
        <v>0</v>
      </c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4"/>
      <c r="U50" s="95"/>
      <c r="V50" s="95"/>
      <c r="W50" s="165"/>
      <c r="X50" s="94"/>
      <c r="Y50" s="94"/>
      <c r="Z50" s="94"/>
      <c r="AA50" s="94"/>
      <c r="AB50" s="94"/>
      <c r="AC50" s="94"/>
      <c r="AD50" s="94"/>
      <c r="AE50" s="95"/>
      <c r="AF50" s="96"/>
    </row>
    <row r="51" spans="1:32" ht="33.75" customHeight="1" hidden="1">
      <c r="A51" s="203"/>
      <c r="B51" s="227" t="s">
        <v>611</v>
      </c>
      <c r="C51" s="91" t="s">
        <v>525</v>
      </c>
      <c r="D51" s="93"/>
      <c r="E51" s="93"/>
      <c r="F51" s="93"/>
      <c r="G51" s="93">
        <f>E51</f>
        <v>0</v>
      </c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4"/>
      <c r="U51" s="95"/>
      <c r="V51" s="95"/>
      <c r="W51" s="165"/>
      <c r="X51" s="94"/>
      <c r="Y51" s="94"/>
      <c r="Z51" s="94"/>
      <c r="AA51" s="94"/>
      <c r="AB51" s="94"/>
      <c r="AC51" s="94"/>
      <c r="AD51" s="94"/>
      <c r="AE51" s="95"/>
      <c r="AF51" s="96"/>
    </row>
    <row r="52" spans="1:32" ht="33.75" customHeight="1" hidden="1">
      <c r="A52" s="203"/>
      <c r="B52" s="227" t="s">
        <v>612</v>
      </c>
      <c r="C52" s="91" t="s">
        <v>525</v>
      </c>
      <c r="D52" s="93"/>
      <c r="E52" s="93"/>
      <c r="F52" s="93"/>
      <c r="G52" s="93">
        <f>E52</f>
        <v>0</v>
      </c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4"/>
      <c r="U52" s="95"/>
      <c r="V52" s="95"/>
      <c r="W52" s="165"/>
      <c r="X52" s="94"/>
      <c r="Y52" s="94"/>
      <c r="Z52" s="94"/>
      <c r="AA52" s="94"/>
      <c r="AB52" s="94"/>
      <c r="AC52" s="94"/>
      <c r="AD52" s="94"/>
      <c r="AE52" s="95"/>
      <c r="AF52" s="96"/>
    </row>
    <row r="53" spans="1:32" ht="33.75" customHeight="1" hidden="1">
      <c r="A53" s="203" t="s">
        <v>230</v>
      </c>
      <c r="B53" s="227" t="s">
        <v>613</v>
      </c>
      <c r="C53" s="91" t="s">
        <v>614</v>
      </c>
      <c r="D53" s="93"/>
      <c r="E53" s="93"/>
      <c r="F53" s="93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4"/>
      <c r="U53" s="95"/>
      <c r="V53" s="95"/>
      <c r="W53" s="165"/>
      <c r="X53" s="94"/>
      <c r="Y53" s="94"/>
      <c r="Z53" s="94"/>
      <c r="AA53" s="94"/>
      <c r="AB53" s="94"/>
      <c r="AC53" s="94"/>
      <c r="AD53" s="94"/>
      <c r="AE53" s="95"/>
      <c r="AF53" s="96"/>
    </row>
    <row r="54" spans="1:32" ht="33.75" customHeight="1" hidden="1">
      <c r="A54" s="203" t="s">
        <v>231</v>
      </c>
      <c r="B54" s="227" t="s">
        <v>616</v>
      </c>
      <c r="C54" s="91" t="s">
        <v>615</v>
      </c>
      <c r="D54" s="93"/>
      <c r="E54" s="93"/>
      <c r="F54" s="93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4"/>
      <c r="U54" s="95"/>
      <c r="V54" s="95"/>
      <c r="W54" s="165"/>
      <c r="X54" s="94"/>
      <c r="Y54" s="94"/>
      <c r="Z54" s="94"/>
      <c r="AA54" s="94"/>
      <c r="AB54" s="94"/>
      <c r="AC54" s="94"/>
      <c r="AD54" s="94"/>
      <c r="AE54" s="95"/>
      <c r="AF54" s="96"/>
    </row>
    <row r="55" ht="15.75" customHeight="1"/>
    <row r="56" ht="15.75" customHeight="1"/>
    <row r="57" spans="1:8" s="45" customFormat="1" ht="15.75" customHeight="1">
      <c r="A57" s="44"/>
      <c r="B57" s="233"/>
      <c r="H57" s="245"/>
    </row>
    <row r="58" ht="15.75" customHeight="1">
      <c r="A58" s="48"/>
    </row>
    <row r="59" ht="15.75" customHeight="1"/>
    <row r="60" ht="15.75" customHeight="1"/>
    <row r="61" spans="1:8" s="45" customFormat="1" ht="15.75" customHeight="1">
      <c r="A61" s="44"/>
      <c r="B61" s="233"/>
      <c r="H61" s="245"/>
    </row>
    <row r="62" ht="15.75" customHeight="1"/>
    <row r="63" ht="30" customHeight="1">
      <c r="A63" s="48"/>
    </row>
    <row r="64" ht="15.75" customHeight="1">
      <c r="A64" s="48"/>
    </row>
    <row r="65" ht="15.75">
      <c r="A65" s="48"/>
    </row>
    <row r="66" ht="15.75">
      <c r="A66" s="48"/>
    </row>
    <row r="67" ht="15.75">
      <c r="A67" s="48"/>
    </row>
    <row r="68" ht="18" customHeight="1" hidden="1"/>
    <row r="69" ht="18" customHeight="1" hidden="1"/>
    <row r="70" ht="16.5" customHeight="1" hidden="1"/>
    <row r="71" ht="16.5" customHeight="1" hidden="1"/>
    <row r="72" ht="16.5" customHeight="1" hidden="1"/>
    <row r="73" ht="16.5" customHeight="1" hidden="1"/>
    <row r="74" ht="16.5" customHeight="1" hidden="1"/>
    <row r="75" ht="16.5" customHeight="1" hidden="1"/>
    <row r="76" ht="16.5" customHeight="1" hidden="1"/>
    <row r="77" spans="1:8" s="45" customFormat="1" ht="18.75" customHeight="1">
      <c r="A77" s="44"/>
      <c r="B77" s="233"/>
      <c r="H77" s="245"/>
    </row>
    <row r="78" ht="33" customHeight="1" hidden="1"/>
    <row r="79" ht="34.5" customHeight="1" hidden="1"/>
    <row r="81" ht="49.5" customHeight="1"/>
    <row r="82" ht="31.5" customHeight="1"/>
    <row r="83" ht="19.5" customHeight="1"/>
    <row r="84" ht="15.75">
      <c r="A84" s="48"/>
    </row>
    <row r="85" ht="18" customHeight="1">
      <c r="A85" s="48"/>
    </row>
    <row r="86" ht="18" customHeight="1">
      <c r="A86" s="48"/>
    </row>
    <row r="87" ht="18" customHeight="1">
      <c r="A87" s="48"/>
    </row>
    <row r="88" ht="18" customHeight="1">
      <c r="A88" s="48"/>
    </row>
    <row r="89" ht="18" customHeight="1">
      <c r="A89" s="48"/>
    </row>
    <row r="90" ht="18" customHeight="1">
      <c r="A90" s="48"/>
    </row>
    <row r="91" ht="18" customHeight="1">
      <c r="A91" s="48"/>
    </row>
    <row r="92" ht="15.75">
      <c r="A92" s="48"/>
    </row>
    <row r="93" ht="18" customHeight="1">
      <c r="A93" s="48"/>
    </row>
    <row r="94" ht="18" customHeight="1">
      <c r="A94" s="48"/>
    </row>
  </sheetData>
  <sheetProtection/>
  <mergeCells count="16">
    <mergeCell ref="A1:V1"/>
    <mergeCell ref="A2:V2"/>
    <mergeCell ref="A4:A6"/>
    <mergeCell ref="B4:B6"/>
    <mergeCell ref="C4:C6"/>
    <mergeCell ref="D4:D6"/>
    <mergeCell ref="H5:H6"/>
    <mergeCell ref="I5:T5"/>
    <mergeCell ref="U4:V4"/>
    <mergeCell ref="E4:G4"/>
    <mergeCell ref="E5:E6"/>
    <mergeCell ref="V5:V6"/>
    <mergeCell ref="F5:F6"/>
    <mergeCell ref="G5:G6"/>
    <mergeCell ref="U5:U6"/>
    <mergeCell ref="H4:T4"/>
  </mergeCells>
  <printOptions/>
  <pageMargins left="0.79" right="0.1968503937007874" top="0.59" bottom="0.53" header="0.1968503937007874" footer="0.1968503937007874"/>
  <pageSetup horizontalDpi="600" verticalDpi="600" orientation="landscape" paperSize="9" scale="60" r:id="rId2"/>
  <colBreaks count="1" manualBreakCount="1">
    <brk id="22" max="67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1"/>
  <sheetViews>
    <sheetView zoomScale="115" zoomScaleNormal="115" zoomScalePageLayoutView="0" workbookViewId="0" topLeftCell="A28">
      <selection activeCell="C50" sqref="C50:C51"/>
    </sheetView>
  </sheetViews>
  <sheetFormatPr defaultColWidth="9.140625" defaultRowHeight="12.75"/>
  <cols>
    <col min="1" max="1" width="5.00390625" style="216" customWidth="1"/>
    <col min="2" max="2" width="50.00390625" style="4" customWidth="1"/>
    <col min="3" max="3" width="11.28125" style="4" customWidth="1"/>
    <col min="4" max="4" width="11.00390625" style="213" customWidth="1"/>
    <col min="5" max="5" width="11.00390625" style="214" customWidth="1"/>
    <col min="6" max="6" width="8.7109375" style="214" hidden="1" customWidth="1"/>
    <col min="7" max="7" width="8.7109375" style="214" customWidth="1"/>
    <col min="8" max="8" width="14.00390625" style="214" bestFit="1" customWidth="1"/>
    <col min="9" max="9" width="10.140625" style="17" customWidth="1"/>
    <col min="10" max="10" width="15.57421875" style="17" customWidth="1"/>
    <col min="11" max="11" width="12.7109375" style="16" customWidth="1"/>
    <col min="12" max="16384" width="9.140625" style="4" customWidth="1"/>
  </cols>
  <sheetData>
    <row r="1" spans="1:11" s="40" customFormat="1" ht="16.5">
      <c r="A1" s="747" t="s">
        <v>632</v>
      </c>
      <c r="B1" s="747"/>
      <c r="C1" s="38"/>
      <c r="D1" s="39"/>
      <c r="E1" s="39"/>
      <c r="F1" s="39"/>
      <c r="G1" s="39"/>
      <c r="H1" s="39"/>
      <c r="I1" s="38"/>
      <c r="J1" s="38"/>
      <c r="K1" s="39"/>
    </row>
    <row r="2" spans="1:11" s="2" customFormat="1" ht="18.75" customHeight="1">
      <c r="A2" s="778" t="s">
        <v>684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</row>
    <row r="3" spans="1:12" s="1" customFormat="1" ht="19.5" customHeight="1">
      <c r="A3" s="779" t="str">
        <f>' Bieu 6 VHTTDL'!A2:V2</f>
        <v>(Kèm theo Kế hoạch số:              /KH-UBND ngày     /    /2023 của UBND huyện Tủa Chùa)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5"/>
    </row>
    <row r="4" spans="1:11" s="40" customFormat="1" ht="12" customHeight="1">
      <c r="A4" s="15"/>
      <c r="B4" s="41"/>
      <c r="C4" s="41"/>
      <c r="D4" s="15"/>
      <c r="E4" s="15"/>
      <c r="F4" s="15"/>
      <c r="G4" s="15"/>
      <c r="H4" s="15"/>
      <c r="I4" s="41"/>
      <c r="J4" s="41"/>
      <c r="K4" s="15"/>
    </row>
    <row r="5" spans="1:11" s="42" customFormat="1" ht="15.75" customHeight="1">
      <c r="A5" s="741" t="s">
        <v>43</v>
      </c>
      <c r="B5" s="741" t="s">
        <v>48</v>
      </c>
      <c r="C5" s="741" t="s">
        <v>44</v>
      </c>
      <c r="D5" s="751" t="s">
        <v>664</v>
      </c>
      <c r="E5" s="741" t="s">
        <v>639</v>
      </c>
      <c r="F5" s="741"/>
      <c r="G5" s="741"/>
      <c r="H5" s="741"/>
      <c r="I5" s="751" t="s">
        <v>665</v>
      </c>
      <c r="J5" s="746" t="s">
        <v>2</v>
      </c>
      <c r="K5" s="746"/>
    </row>
    <row r="6" spans="1:11" s="42" customFormat="1" ht="20.25" customHeight="1">
      <c r="A6" s="741"/>
      <c r="B6" s="741"/>
      <c r="C6" s="741"/>
      <c r="D6" s="751"/>
      <c r="E6" s="741" t="s">
        <v>531</v>
      </c>
      <c r="F6" s="732" t="s">
        <v>347</v>
      </c>
      <c r="G6" s="780" t="s">
        <v>634</v>
      </c>
      <c r="H6" s="732" t="s">
        <v>637</v>
      </c>
      <c r="I6" s="751"/>
      <c r="J6" s="731" t="s">
        <v>641</v>
      </c>
      <c r="K6" s="731" t="s">
        <v>642</v>
      </c>
    </row>
    <row r="7" spans="1:11" s="42" customFormat="1" ht="56.25" customHeight="1">
      <c r="A7" s="741"/>
      <c r="B7" s="741"/>
      <c r="C7" s="741"/>
      <c r="D7" s="751"/>
      <c r="E7" s="741"/>
      <c r="F7" s="732"/>
      <c r="G7" s="781"/>
      <c r="H7" s="732"/>
      <c r="I7" s="751"/>
      <c r="J7" s="731"/>
      <c r="K7" s="731"/>
    </row>
    <row r="8" spans="1:11" s="97" customFormat="1" ht="18.75" customHeight="1">
      <c r="A8" s="26" t="s">
        <v>178</v>
      </c>
      <c r="B8" s="103" t="s">
        <v>298</v>
      </c>
      <c r="C8" s="26"/>
      <c r="D8" s="12"/>
      <c r="E8" s="12"/>
      <c r="F8" s="105"/>
      <c r="G8" s="105"/>
      <c r="H8" s="105"/>
      <c r="I8" s="104"/>
      <c r="J8" s="104"/>
      <c r="K8" s="105"/>
    </row>
    <row r="9" spans="1:11" s="97" customFormat="1" ht="18.75" customHeight="1">
      <c r="A9" s="26" t="s">
        <v>167</v>
      </c>
      <c r="B9" s="103" t="s">
        <v>299</v>
      </c>
      <c r="C9" s="26"/>
      <c r="D9" s="12"/>
      <c r="E9" s="12"/>
      <c r="F9" s="206"/>
      <c r="G9" s="206"/>
      <c r="H9" s="206"/>
      <c r="I9" s="106"/>
      <c r="J9" s="106"/>
      <c r="K9" s="107"/>
    </row>
    <row r="10" spans="1:11" s="97" customFormat="1" ht="17.25" customHeight="1">
      <c r="A10" s="108"/>
      <c r="B10" s="109" t="s">
        <v>300</v>
      </c>
      <c r="C10" s="108" t="s">
        <v>136</v>
      </c>
      <c r="D10" s="319">
        <v>11</v>
      </c>
      <c r="E10" s="319">
        <v>11</v>
      </c>
      <c r="F10" s="208"/>
      <c r="G10" s="208">
        <v>11</v>
      </c>
      <c r="H10" s="208">
        <v>11</v>
      </c>
      <c r="I10" s="208">
        <v>11</v>
      </c>
      <c r="J10" s="110">
        <v>100</v>
      </c>
      <c r="K10" s="240">
        <v>100</v>
      </c>
    </row>
    <row r="11" spans="1:12" s="97" customFormat="1" ht="15.75" customHeight="1">
      <c r="A11" s="108"/>
      <c r="B11" s="109" t="s">
        <v>301</v>
      </c>
      <c r="C11" s="108" t="s">
        <v>13</v>
      </c>
      <c r="D11" s="319">
        <v>100</v>
      </c>
      <c r="E11" s="319">
        <v>100</v>
      </c>
      <c r="F11" s="319">
        <v>100</v>
      </c>
      <c r="G11" s="319">
        <v>100</v>
      </c>
      <c r="H11" s="319">
        <v>100</v>
      </c>
      <c r="I11" s="319">
        <v>100</v>
      </c>
      <c r="J11" s="241"/>
      <c r="K11" s="242"/>
      <c r="L11" s="98"/>
    </row>
    <row r="12" spans="1:11" s="97" customFormat="1" ht="17.25" customHeight="1">
      <c r="A12" s="108"/>
      <c r="B12" s="109" t="s">
        <v>302</v>
      </c>
      <c r="C12" s="108" t="s">
        <v>526</v>
      </c>
      <c r="D12" s="113">
        <v>4848</v>
      </c>
      <c r="E12" s="113">
        <v>4944</v>
      </c>
      <c r="F12" s="113"/>
      <c r="G12" s="113">
        <f>' Bieu 3 LDVT'!H9/11</f>
        <v>5707.090909090909</v>
      </c>
      <c r="H12" s="113">
        <f>G12</f>
        <v>5707.090909090909</v>
      </c>
      <c r="I12" s="113">
        <f>' Bieu 3 LDVT'!I9/11</f>
        <v>5821.181818181818</v>
      </c>
      <c r="J12" s="241">
        <f>H12/D12*100</f>
        <v>117.72052205220523</v>
      </c>
      <c r="K12" s="240">
        <f>I12/H12*100</f>
        <v>101.9991079677594</v>
      </c>
    </row>
    <row r="13" spans="1:11" s="97" customFormat="1" ht="18.75" customHeight="1">
      <c r="A13" s="108"/>
      <c r="B13" s="109" t="s">
        <v>303</v>
      </c>
      <c r="C13" s="108" t="s">
        <v>304</v>
      </c>
      <c r="D13" s="320">
        <v>4.32</v>
      </c>
      <c r="E13" s="164">
        <v>4.4</v>
      </c>
      <c r="F13" s="164">
        <v>4.4</v>
      </c>
      <c r="G13" s="164">
        <v>4.4</v>
      </c>
      <c r="H13" s="164">
        <v>4.4</v>
      </c>
      <c r="I13" s="164">
        <v>4.4</v>
      </c>
      <c r="J13" s="241"/>
      <c r="K13" s="242"/>
    </row>
    <row r="14" spans="1:11" s="99" customFormat="1" ht="18.75" customHeight="1">
      <c r="A14" s="26" t="s">
        <v>172</v>
      </c>
      <c r="B14" s="103" t="s">
        <v>305</v>
      </c>
      <c r="C14" s="26"/>
      <c r="D14" s="12"/>
      <c r="E14" s="12"/>
      <c r="F14" s="207"/>
      <c r="G14" s="207"/>
      <c r="H14" s="113"/>
      <c r="I14" s="207"/>
      <c r="J14" s="111"/>
      <c r="K14" s="112"/>
    </row>
    <row r="15" spans="1:11" s="97" customFormat="1" ht="18.75" customHeight="1">
      <c r="A15" s="108"/>
      <c r="B15" s="109" t="s">
        <v>430</v>
      </c>
      <c r="C15" s="108" t="s">
        <v>306</v>
      </c>
      <c r="D15" s="208">
        <v>113</v>
      </c>
      <c r="E15" s="208">
        <v>150</v>
      </c>
      <c r="F15" s="208"/>
      <c r="G15" s="563">
        <v>367</v>
      </c>
      <c r="H15" s="563">
        <v>367</v>
      </c>
      <c r="I15" s="563">
        <v>367</v>
      </c>
      <c r="J15" s="110">
        <f>H15/D15*100</f>
        <v>324.7787610619469</v>
      </c>
      <c r="K15" s="240">
        <f>I15/H15*100</f>
        <v>100</v>
      </c>
    </row>
    <row r="16" spans="1:11" s="97" customFormat="1" ht="18.75" customHeight="1">
      <c r="A16" s="108"/>
      <c r="B16" s="109" t="s">
        <v>431</v>
      </c>
      <c r="C16" s="108" t="s">
        <v>306</v>
      </c>
      <c r="D16" s="113">
        <v>48746</v>
      </c>
      <c r="E16" s="113">
        <v>49150</v>
      </c>
      <c r="F16" s="121"/>
      <c r="G16" s="113">
        <v>48633</v>
      </c>
      <c r="H16" s="113">
        <v>49000</v>
      </c>
      <c r="I16" s="113">
        <v>50000</v>
      </c>
      <c r="J16" s="241">
        <f>H16/D16*100</f>
        <v>100.52106839535551</v>
      </c>
      <c r="K16" s="242">
        <f>I16/H16*100</f>
        <v>102.04081632653062</v>
      </c>
    </row>
    <row r="17" spans="1:11" s="97" customFormat="1" ht="18.75" customHeight="1">
      <c r="A17" s="108"/>
      <c r="B17" s="109" t="s">
        <v>307</v>
      </c>
      <c r="C17" s="108" t="s">
        <v>308</v>
      </c>
      <c r="D17" s="324">
        <v>79.1</v>
      </c>
      <c r="E17" s="324">
        <v>78.2</v>
      </c>
      <c r="F17" s="321"/>
      <c r="G17" s="324">
        <f>G16*100/' Bieu 3 LDVT'!G9</f>
        <v>77.46822135142884</v>
      </c>
      <c r="H17" s="324">
        <f>H16*100/' Bieu 3 LDVT'!H9</f>
        <v>78.05282105196088</v>
      </c>
      <c r="I17" s="324">
        <f>I16*100/' Bieu 3 LDVT'!I9</f>
        <v>78.08473755719707</v>
      </c>
      <c r="J17" s="241">
        <f>H17/D17*100</f>
        <v>98.67613280905296</v>
      </c>
      <c r="K17" s="240">
        <f>I17/H17*100</f>
        <v>100.04089090542281</v>
      </c>
    </row>
    <row r="18" spans="1:11" s="97" customFormat="1" ht="18.75" customHeight="1">
      <c r="A18" s="108"/>
      <c r="B18" s="109" t="s">
        <v>309</v>
      </c>
      <c r="C18" s="108" t="s">
        <v>127</v>
      </c>
      <c r="D18" s="319">
        <v>65</v>
      </c>
      <c r="E18" s="113">
        <v>65</v>
      </c>
      <c r="F18" s="121"/>
      <c r="G18" s="121">
        <v>68</v>
      </c>
      <c r="H18" s="113">
        <v>68</v>
      </c>
      <c r="I18" s="113">
        <v>70</v>
      </c>
      <c r="J18" s="241">
        <f>H18/D18*100</f>
        <v>104.61538461538463</v>
      </c>
      <c r="K18" s="242">
        <f>I18/H18*100</f>
        <v>102.94117647058823</v>
      </c>
    </row>
    <row r="19" spans="1:11" s="100" customFormat="1" ht="21.75" customHeight="1">
      <c r="A19" s="108"/>
      <c r="B19" s="109" t="s">
        <v>527</v>
      </c>
      <c r="C19" s="108" t="s">
        <v>127</v>
      </c>
      <c r="D19" s="108">
        <v>12</v>
      </c>
      <c r="E19" s="108">
        <v>12</v>
      </c>
      <c r="F19" s="121"/>
      <c r="G19" s="121">
        <v>12</v>
      </c>
      <c r="H19" s="121">
        <v>12</v>
      </c>
      <c r="I19" s="121">
        <v>12</v>
      </c>
      <c r="J19" s="322">
        <v>100</v>
      </c>
      <c r="K19" s="323">
        <v>100</v>
      </c>
    </row>
    <row r="20" spans="1:12" s="97" customFormat="1" ht="18.75" customHeight="1">
      <c r="A20" s="26" t="s">
        <v>173</v>
      </c>
      <c r="B20" s="103" t="s">
        <v>310</v>
      </c>
      <c r="C20" s="26"/>
      <c r="D20" s="12"/>
      <c r="E20" s="12"/>
      <c r="F20" s="113"/>
      <c r="G20" s="113"/>
      <c r="H20" s="113"/>
      <c r="I20" s="116"/>
      <c r="J20" s="111"/>
      <c r="K20" s="112"/>
      <c r="L20" s="98"/>
    </row>
    <row r="21" spans="1:11" s="97" customFormat="1" ht="18.75" customHeight="1">
      <c r="A21" s="108"/>
      <c r="B21" s="109" t="s">
        <v>323</v>
      </c>
      <c r="C21" s="108" t="s">
        <v>306</v>
      </c>
      <c r="D21" s="273">
        <v>3050</v>
      </c>
      <c r="E21" s="273">
        <v>3110</v>
      </c>
      <c r="F21" s="121"/>
      <c r="G21" s="273">
        <v>2850</v>
      </c>
      <c r="H21" s="273">
        <v>2900</v>
      </c>
      <c r="I21" s="273">
        <v>3200</v>
      </c>
      <c r="J21" s="241">
        <f>H21/D21*100</f>
        <v>95.08196721311475</v>
      </c>
      <c r="K21" s="242">
        <f>I21/H21*100</f>
        <v>110.34482758620689</v>
      </c>
    </row>
    <row r="22" spans="1:11" s="101" customFormat="1" ht="18.75" customHeight="1">
      <c r="A22" s="108"/>
      <c r="B22" s="109" t="s">
        <v>311</v>
      </c>
      <c r="C22" s="108" t="s">
        <v>306</v>
      </c>
      <c r="D22" s="321">
        <v>5</v>
      </c>
      <c r="E22" s="328">
        <v>4.95</v>
      </c>
      <c r="F22" s="324"/>
      <c r="G22" s="328">
        <f>G21*100/' Bieu 3 LDVT'!H9</f>
        <v>4.5398069387365</v>
      </c>
      <c r="H22" s="324">
        <f>H21*100/' Bieu 3 LDVT'!H9</f>
        <v>4.619452674503807</v>
      </c>
      <c r="I22" s="121">
        <f>I21*100/' Bieu 3 LDVT'!I9</f>
        <v>4.997423203660612</v>
      </c>
      <c r="J22" s="241">
        <f>H22/D22*100</f>
        <v>92.38905349007615</v>
      </c>
      <c r="K22" s="242">
        <f>I22/H22*100</f>
        <v>108.18214961358825</v>
      </c>
    </row>
    <row r="23" spans="1:11" s="97" customFormat="1" ht="18.75" customHeight="1">
      <c r="A23" s="108"/>
      <c r="B23" s="109" t="s">
        <v>528</v>
      </c>
      <c r="C23" s="108" t="s">
        <v>136</v>
      </c>
      <c r="D23" s="319">
        <v>12</v>
      </c>
      <c r="E23" s="319">
        <v>12</v>
      </c>
      <c r="F23" s="319">
        <v>12</v>
      </c>
      <c r="G23" s="319">
        <v>12</v>
      </c>
      <c r="H23" s="319">
        <v>12</v>
      </c>
      <c r="I23" s="319">
        <v>12</v>
      </c>
      <c r="J23" s="110">
        <v>100</v>
      </c>
      <c r="K23" s="240">
        <v>100</v>
      </c>
    </row>
    <row r="24" spans="1:11" s="97" customFormat="1" ht="18.75" customHeight="1">
      <c r="A24" s="108"/>
      <c r="B24" s="109" t="s">
        <v>529</v>
      </c>
      <c r="C24" s="108" t="s">
        <v>13</v>
      </c>
      <c r="D24" s="319">
        <v>100</v>
      </c>
      <c r="E24" s="319">
        <v>100</v>
      </c>
      <c r="F24" s="319">
        <v>100</v>
      </c>
      <c r="G24" s="319">
        <v>100</v>
      </c>
      <c r="H24" s="319">
        <v>100</v>
      </c>
      <c r="I24" s="319">
        <v>100</v>
      </c>
      <c r="J24" s="111"/>
      <c r="K24" s="112"/>
    </row>
    <row r="25" spans="1:11" s="100" customFormat="1" ht="18.75" customHeight="1">
      <c r="A25" s="26" t="s">
        <v>4</v>
      </c>
      <c r="B25" s="114" t="s">
        <v>432</v>
      </c>
      <c r="C25" s="26"/>
      <c r="D25" s="12"/>
      <c r="E25" s="209"/>
      <c r="F25" s="209"/>
      <c r="G25" s="209"/>
      <c r="H25" s="113"/>
      <c r="I25" s="115"/>
      <c r="J25" s="111"/>
      <c r="K25" s="112"/>
    </row>
    <row r="26" spans="1:11" s="100" customFormat="1" ht="17.25" customHeight="1">
      <c r="A26" s="118" t="s">
        <v>167</v>
      </c>
      <c r="B26" s="117" t="s">
        <v>433</v>
      </c>
      <c r="C26" s="118"/>
      <c r="D26" s="105"/>
      <c r="E26" s="105"/>
      <c r="F26" s="209"/>
      <c r="G26" s="209"/>
      <c r="H26" s="113"/>
      <c r="I26" s="115"/>
      <c r="J26" s="111"/>
      <c r="K26" s="112"/>
    </row>
    <row r="27" spans="1:11" s="97" customFormat="1" ht="18.75" customHeight="1">
      <c r="A27" s="215">
        <v>1</v>
      </c>
      <c r="B27" s="119" t="s">
        <v>530</v>
      </c>
      <c r="C27" s="121" t="s">
        <v>463</v>
      </c>
      <c r="D27" s="113">
        <v>13870</v>
      </c>
      <c r="E27" s="113">
        <v>13910</v>
      </c>
      <c r="F27" s="113"/>
      <c r="G27" s="113">
        <f>E27/2</f>
        <v>6955</v>
      </c>
      <c r="H27" s="113">
        <f>E27</f>
        <v>13910</v>
      </c>
      <c r="I27" s="110">
        <f>E27</f>
        <v>13910</v>
      </c>
      <c r="J27" s="241">
        <f>H27/D27*100</f>
        <v>100.28839221341023</v>
      </c>
      <c r="K27" s="240">
        <v>100</v>
      </c>
    </row>
    <row r="28" spans="1:11" s="97" customFormat="1" ht="18.75" customHeight="1">
      <c r="A28" s="215">
        <v>2</v>
      </c>
      <c r="B28" s="119" t="s">
        <v>434</v>
      </c>
      <c r="C28" s="121" t="s">
        <v>463</v>
      </c>
      <c r="D28" s="113">
        <v>72</v>
      </c>
      <c r="E28" s="113">
        <v>72</v>
      </c>
      <c r="F28" s="113"/>
      <c r="G28" s="113">
        <f>E28/2</f>
        <v>36</v>
      </c>
      <c r="H28" s="113">
        <f>E28</f>
        <v>72</v>
      </c>
      <c r="I28" s="113">
        <f>E28</f>
        <v>72</v>
      </c>
      <c r="J28" s="110">
        <v>100</v>
      </c>
      <c r="K28" s="240">
        <v>100</v>
      </c>
    </row>
    <row r="29" spans="1:11" s="97" customFormat="1" ht="18.75" customHeight="1">
      <c r="A29" s="215">
        <v>3</v>
      </c>
      <c r="B29" s="119" t="s">
        <v>435</v>
      </c>
      <c r="C29" s="121" t="s">
        <v>464</v>
      </c>
      <c r="D29" s="113">
        <v>7</v>
      </c>
      <c r="E29" s="208">
        <v>7</v>
      </c>
      <c r="F29" s="208"/>
      <c r="G29" s="208">
        <v>7</v>
      </c>
      <c r="H29" s="113">
        <v>9</v>
      </c>
      <c r="I29" s="113">
        <v>12</v>
      </c>
      <c r="J29" s="241">
        <f>H29/D29*100</f>
        <v>128.57142857142858</v>
      </c>
      <c r="K29" s="242">
        <f>I29/H29*100</f>
        <v>133.33333333333331</v>
      </c>
    </row>
    <row r="30" spans="1:11" s="97" customFormat="1" ht="18.75" customHeight="1">
      <c r="A30" s="215">
        <v>4</v>
      </c>
      <c r="B30" s="119" t="s">
        <v>436</v>
      </c>
      <c r="C30" s="121" t="s">
        <v>136</v>
      </c>
      <c r="D30" s="113">
        <v>7</v>
      </c>
      <c r="E30" s="113">
        <v>7</v>
      </c>
      <c r="F30" s="113"/>
      <c r="G30" s="113">
        <v>7</v>
      </c>
      <c r="H30" s="113">
        <v>9</v>
      </c>
      <c r="I30" s="113">
        <v>12</v>
      </c>
      <c r="J30" s="241">
        <f>H30/D30*100</f>
        <v>128.57142857142858</v>
      </c>
      <c r="K30" s="242">
        <f>I30/H30*100</f>
        <v>133.33333333333331</v>
      </c>
    </row>
    <row r="31" spans="1:11" s="97" customFormat="1" ht="18.75" customHeight="1">
      <c r="A31" s="215"/>
      <c r="B31" s="119" t="s">
        <v>437</v>
      </c>
      <c r="C31" s="121" t="s">
        <v>13</v>
      </c>
      <c r="D31" s="564">
        <f aca="true" t="shared" si="0" ref="D31:I31">D30/12*100</f>
        <v>58.333333333333336</v>
      </c>
      <c r="E31" s="564">
        <f t="shared" si="0"/>
        <v>58.333333333333336</v>
      </c>
      <c r="F31" s="564">
        <f t="shared" si="0"/>
        <v>0</v>
      </c>
      <c r="G31" s="564">
        <f t="shared" si="0"/>
        <v>58.333333333333336</v>
      </c>
      <c r="H31" s="565">
        <f t="shared" si="0"/>
        <v>75</v>
      </c>
      <c r="I31" s="565">
        <f t="shared" si="0"/>
        <v>100</v>
      </c>
      <c r="J31" s="241">
        <f>H31-D31</f>
        <v>16.666666666666664</v>
      </c>
      <c r="K31" s="240">
        <f>I31-H31</f>
        <v>25</v>
      </c>
    </row>
    <row r="32" spans="1:11" s="329" customFormat="1" ht="18.75" customHeight="1">
      <c r="A32" s="215">
        <v>5</v>
      </c>
      <c r="B32" s="119" t="s">
        <v>438</v>
      </c>
      <c r="C32" s="121" t="s">
        <v>164</v>
      </c>
      <c r="D32" s="113">
        <v>10236</v>
      </c>
      <c r="E32" s="113">
        <v>10795</v>
      </c>
      <c r="F32" s="113"/>
      <c r="G32" s="113">
        <f>E32</f>
        <v>10795</v>
      </c>
      <c r="H32" s="113">
        <f>G32</f>
        <v>10795</v>
      </c>
      <c r="I32" s="113">
        <v>10870</v>
      </c>
      <c r="J32" s="241">
        <f>H32/D32*100</f>
        <v>105.4611176240719</v>
      </c>
      <c r="K32" s="242">
        <f>I32/H32*100</f>
        <v>100.69476609541455</v>
      </c>
    </row>
    <row r="33" spans="1:11" s="329" customFormat="1" ht="18.75" customHeight="1">
      <c r="A33" s="215"/>
      <c r="B33" s="119" t="s">
        <v>439</v>
      </c>
      <c r="C33" s="121" t="s">
        <v>13</v>
      </c>
      <c r="D33" s="113">
        <f>D32/' Bieu 3 LDVT'!D55*100</f>
        <v>85.00249128051819</v>
      </c>
      <c r="E33" s="208">
        <f>E32/' Bieu 3 LDVT'!E55*100</f>
        <v>87.0003223726628</v>
      </c>
      <c r="F33" s="208"/>
      <c r="G33" s="208">
        <f>E33</f>
        <v>87.0003223726628</v>
      </c>
      <c r="H33" s="208">
        <f>G33</f>
        <v>87.0003223726628</v>
      </c>
      <c r="I33" s="208">
        <f>I32/' Bieu 3 LDVT'!I55*100</f>
        <v>86.75179569034319</v>
      </c>
      <c r="J33" s="110">
        <f>H33-D33</f>
        <v>1.997831092144608</v>
      </c>
      <c r="K33" s="112"/>
    </row>
    <row r="34" spans="1:11" s="329" customFormat="1" ht="18.75" customHeight="1">
      <c r="A34" s="215">
        <v>6</v>
      </c>
      <c r="B34" s="119" t="s">
        <v>440</v>
      </c>
      <c r="C34" s="121" t="s">
        <v>136</v>
      </c>
      <c r="D34" s="113">
        <v>12</v>
      </c>
      <c r="E34" s="113">
        <v>12</v>
      </c>
      <c r="F34" s="113">
        <v>12</v>
      </c>
      <c r="G34" s="113">
        <v>12</v>
      </c>
      <c r="H34" s="113">
        <v>12</v>
      </c>
      <c r="I34" s="113">
        <v>12</v>
      </c>
      <c r="J34" s="110">
        <v>100</v>
      </c>
      <c r="K34" s="240">
        <v>100</v>
      </c>
    </row>
    <row r="35" spans="1:11" s="329" customFormat="1" ht="21" customHeight="1">
      <c r="A35" s="215"/>
      <c r="B35" s="119" t="s">
        <v>441</v>
      </c>
      <c r="C35" s="121" t="s">
        <v>13</v>
      </c>
      <c r="D35" s="208">
        <v>100</v>
      </c>
      <c r="E35" s="208">
        <v>100</v>
      </c>
      <c r="F35" s="208">
        <v>100</v>
      </c>
      <c r="G35" s="208">
        <v>100</v>
      </c>
      <c r="H35" s="208">
        <v>100</v>
      </c>
      <c r="I35" s="208">
        <v>100</v>
      </c>
      <c r="J35" s="110"/>
      <c r="K35" s="240"/>
    </row>
    <row r="36" spans="1:11" s="329" customFormat="1" ht="18.75" customHeight="1">
      <c r="A36" s="215">
        <v>7</v>
      </c>
      <c r="B36" s="119" t="s">
        <v>442</v>
      </c>
      <c r="C36" s="121" t="s">
        <v>164</v>
      </c>
      <c r="D36" s="113">
        <f aca="true" t="shared" si="1" ref="D36:K36">D32</f>
        <v>10236</v>
      </c>
      <c r="E36" s="113">
        <f t="shared" si="1"/>
        <v>10795</v>
      </c>
      <c r="F36" s="113">
        <f t="shared" si="1"/>
        <v>0</v>
      </c>
      <c r="G36" s="113">
        <f t="shared" si="1"/>
        <v>10795</v>
      </c>
      <c r="H36" s="113">
        <f t="shared" si="1"/>
        <v>10795</v>
      </c>
      <c r="I36" s="113">
        <f t="shared" si="1"/>
        <v>10870</v>
      </c>
      <c r="J36" s="320">
        <f t="shared" si="1"/>
        <v>105.4611176240719</v>
      </c>
      <c r="K36" s="320">
        <f t="shared" si="1"/>
        <v>100.69476609541455</v>
      </c>
    </row>
    <row r="37" spans="1:11" s="329" customFormat="1" ht="18.75" customHeight="1">
      <c r="A37" s="215"/>
      <c r="B37" s="119" t="s">
        <v>443</v>
      </c>
      <c r="C37" s="121" t="s">
        <v>13</v>
      </c>
      <c r="D37" s="113">
        <f aca="true" t="shared" si="2" ref="D37:J37">D33</f>
        <v>85.00249128051819</v>
      </c>
      <c r="E37" s="113">
        <f t="shared" si="2"/>
        <v>87.0003223726628</v>
      </c>
      <c r="F37" s="113">
        <f t="shared" si="2"/>
        <v>0</v>
      </c>
      <c r="G37" s="113">
        <f t="shared" si="2"/>
        <v>87.0003223726628</v>
      </c>
      <c r="H37" s="113">
        <f t="shared" si="2"/>
        <v>87.0003223726628</v>
      </c>
      <c r="I37" s="113">
        <f t="shared" si="2"/>
        <v>86.75179569034319</v>
      </c>
      <c r="J37" s="113">
        <f t="shared" si="2"/>
        <v>1.997831092144608</v>
      </c>
      <c r="K37" s="113"/>
    </row>
    <row r="38" spans="1:11" s="329" customFormat="1" ht="15.75" customHeight="1">
      <c r="A38" s="118" t="s">
        <v>172</v>
      </c>
      <c r="B38" s="117" t="s">
        <v>444</v>
      </c>
      <c r="C38" s="118"/>
      <c r="D38" s="113"/>
      <c r="E38" s="210"/>
      <c r="F38" s="208"/>
      <c r="G38" s="208"/>
      <c r="H38" s="164"/>
      <c r="I38" s="116"/>
      <c r="J38" s="110"/>
      <c r="K38" s="112"/>
    </row>
    <row r="39" spans="1:11" s="329" customFormat="1" ht="18.75" customHeight="1">
      <c r="A39" s="215">
        <v>1</v>
      </c>
      <c r="B39" s="330" t="s">
        <v>445</v>
      </c>
      <c r="C39" s="331" t="s">
        <v>164</v>
      </c>
      <c r="D39" s="113">
        <f>D36</f>
        <v>10236</v>
      </c>
      <c r="E39" s="113">
        <f aca="true" t="shared" si="3" ref="E39:K39">E36</f>
        <v>10795</v>
      </c>
      <c r="F39" s="113">
        <f t="shared" si="3"/>
        <v>0</v>
      </c>
      <c r="G39" s="113">
        <f t="shared" si="3"/>
        <v>10795</v>
      </c>
      <c r="H39" s="113">
        <f t="shared" si="3"/>
        <v>10795</v>
      </c>
      <c r="I39" s="113">
        <f t="shared" si="3"/>
        <v>10870</v>
      </c>
      <c r="J39" s="320">
        <f t="shared" si="3"/>
        <v>105.4611176240719</v>
      </c>
      <c r="K39" s="320">
        <f t="shared" si="3"/>
        <v>100.69476609541455</v>
      </c>
    </row>
    <row r="40" spans="1:11" s="329" customFormat="1" ht="18.75" customHeight="1">
      <c r="A40" s="118"/>
      <c r="B40" s="330" t="s">
        <v>446</v>
      </c>
      <c r="C40" s="331" t="s">
        <v>13</v>
      </c>
      <c r="D40" s="113">
        <f>D37</f>
        <v>85.00249128051819</v>
      </c>
      <c r="E40" s="113">
        <f aca="true" t="shared" si="4" ref="E40:J40">E37</f>
        <v>87.0003223726628</v>
      </c>
      <c r="F40" s="113">
        <f t="shared" si="4"/>
        <v>0</v>
      </c>
      <c r="G40" s="113">
        <f t="shared" si="4"/>
        <v>87.0003223726628</v>
      </c>
      <c r="H40" s="113">
        <f t="shared" si="4"/>
        <v>87.0003223726628</v>
      </c>
      <c r="I40" s="113">
        <f t="shared" si="4"/>
        <v>86.75179569034319</v>
      </c>
      <c r="J40" s="113">
        <f t="shared" si="4"/>
        <v>1.997831092144608</v>
      </c>
      <c r="K40" s="113"/>
    </row>
    <row r="41" spans="1:11" s="329" customFormat="1" ht="18.75" customHeight="1">
      <c r="A41" s="215">
        <v>2</v>
      </c>
      <c r="B41" s="330" t="s">
        <v>447</v>
      </c>
      <c r="C41" s="331" t="s">
        <v>136</v>
      </c>
      <c r="D41" s="113">
        <v>12</v>
      </c>
      <c r="E41" s="113">
        <v>12</v>
      </c>
      <c r="F41" s="113">
        <v>12</v>
      </c>
      <c r="G41" s="113">
        <v>12</v>
      </c>
      <c r="H41" s="113">
        <v>12</v>
      </c>
      <c r="I41" s="113">
        <v>12</v>
      </c>
      <c r="J41" s="110">
        <v>100</v>
      </c>
      <c r="K41" s="240">
        <v>100</v>
      </c>
    </row>
    <row r="42" spans="1:11" s="329" customFormat="1" ht="18.75" customHeight="1">
      <c r="A42" s="215"/>
      <c r="B42" s="330" t="s">
        <v>448</v>
      </c>
      <c r="C42" s="331" t="s">
        <v>13</v>
      </c>
      <c r="D42" s="113">
        <v>100</v>
      </c>
      <c r="E42" s="113">
        <v>100</v>
      </c>
      <c r="F42" s="113">
        <v>100</v>
      </c>
      <c r="G42" s="113">
        <v>100</v>
      </c>
      <c r="H42" s="113">
        <v>100</v>
      </c>
      <c r="I42" s="113">
        <v>100</v>
      </c>
      <c r="J42" s="110"/>
      <c r="K42" s="240"/>
    </row>
    <row r="43" spans="1:11" s="329" customFormat="1" ht="18.75" customHeight="1">
      <c r="A43" s="215">
        <v>3</v>
      </c>
      <c r="B43" s="330" t="s">
        <v>449</v>
      </c>
      <c r="C43" s="331" t="s">
        <v>164</v>
      </c>
      <c r="D43" s="113">
        <f>D39</f>
        <v>10236</v>
      </c>
      <c r="E43" s="113">
        <f aca="true" t="shared" si="5" ref="E43:K43">E39</f>
        <v>10795</v>
      </c>
      <c r="F43" s="113">
        <f t="shared" si="5"/>
        <v>0</v>
      </c>
      <c r="G43" s="113">
        <f t="shared" si="5"/>
        <v>10795</v>
      </c>
      <c r="H43" s="113">
        <f t="shared" si="5"/>
        <v>10795</v>
      </c>
      <c r="I43" s="113">
        <f t="shared" si="5"/>
        <v>10870</v>
      </c>
      <c r="J43" s="320">
        <f t="shared" si="5"/>
        <v>105.4611176240719</v>
      </c>
      <c r="K43" s="320">
        <f t="shared" si="5"/>
        <v>100.69476609541455</v>
      </c>
    </row>
    <row r="44" spans="1:11" s="329" customFormat="1" ht="18.75" customHeight="1">
      <c r="A44" s="215"/>
      <c r="B44" s="330" t="s">
        <v>450</v>
      </c>
      <c r="C44" s="331" t="s">
        <v>13</v>
      </c>
      <c r="D44" s="113">
        <f>D40</f>
        <v>85.00249128051819</v>
      </c>
      <c r="E44" s="113">
        <f aca="true" t="shared" si="6" ref="E44:J44">E40</f>
        <v>87.0003223726628</v>
      </c>
      <c r="F44" s="113">
        <f t="shared" si="6"/>
        <v>0</v>
      </c>
      <c r="G44" s="113">
        <f t="shared" si="6"/>
        <v>87.0003223726628</v>
      </c>
      <c r="H44" s="113">
        <f t="shared" si="6"/>
        <v>87.0003223726628</v>
      </c>
      <c r="I44" s="113">
        <f t="shared" si="6"/>
        <v>86.75179569034319</v>
      </c>
      <c r="J44" s="113">
        <f t="shared" si="6"/>
        <v>1.997831092144608</v>
      </c>
      <c r="K44" s="113"/>
    </row>
    <row r="45" spans="1:11" s="335" customFormat="1" ht="18.75" customHeight="1">
      <c r="A45" s="118" t="s">
        <v>173</v>
      </c>
      <c r="B45" s="332" t="s">
        <v>451</v>
      </c>
      <c r="C45" s="333"/>
      <c r="D45" s="209"/>
      <c r="E45" s="206"/>
      <c r="F45" s="211"/>
      <c r="G45" s="211"/>
      <c r="H45" s="209"/>
      <c r="I45" s="334"/>
      <c r="J45" s="106"/>
      <c r="K45" s="120"/>
    </row>
    <row r="46" spans="1:11" s="329" customFormat="1" ht="29.25" customHeight="1">
      <c r="A46" s="215">
        <v>1</v>
      </c>
      <c r="B46" s="330" t="s">
        <v>452</v>
      </c>
      <c r="C46" s="331"/>
      <c r="D46" s="566">
        <f>D47+D48</f>
        <v>542</v>
      </c>
      <c r="E46" s="566">
        <f>E47+E48</f>
        <v>548</v>
      </c>
      <c r="F46" s="566">
        <f>F47+F48</f>
        <v>548</v>
      </c>
      <c r="G46" s="566">
        <f>G47+G48</f>
        <v>548</v>
      </c>
      <c r="H46" s="566">
        <f>H47+H48</f>
        <v>548</v>
      </c>
      <c r="I46" s="563"/>
      <c r="J46" s="567"/>
      <c r="K46" s="782"/>
    </row>
    <row r="47" spans="1:11" s="329" customFormat="1" ht="18.75" customHeight="1">
      <c r="A47" s="215"/>
      <c r="B47" s="330" t="s">
        <v>453</v>
      </c>
      <c r="C47" s="777" t="s">
        <v>465</v>
      </c>
      <c r="D47" s="566">
        <v>5</v>
      </c>
      <c r="E47" s="566">
        <v>5</v>
      </c>
      <c r="F47" s="566">
        <v>5</v>
      </c>
      <c r="G47" s="566">
        <v>5</v>
      </c>
      <c r="H47" s="566">
        <v>5</v>
      </c>
      <c r="I47" s="563">
        <v>100</v>
      </c>
      <c r="J47" s="567">
        <v>100</v>
      </c>
      <c r="K47" s="782"/>
    </row>
    <row r="48" spans="1:11" s="336" customFormat="1" ht="15">
      <c r="A48" s="215"/>
      <c r="B48" s="330" t="s">
        <v>454</v>
      </c>
      <c r="C48" s="777"/>
      <c r="D48" s="568">
        <v>537</v>
      </c>
      <c r="E48" s="568">
        <v>543</v>
      </c>
      <c r="F48" s="568">
        <v>543</v>
      </c>
      <c r="G48" s="568">
        <v>543</v>
      </c>
      <c r="H48" s="568">
        <v>543</v>
      </c>
      <c r="I48" s="570">
        <f>G48/D48*100</f>
        <v>101.1173184357542</v>
      </c>
      <c r="J48" s="567">
        <v>100</v>
      </c>
      <c r="K48" s="783"/>
    </row>
    <row r="49" spans="1:11" s="336" customFormat="1" ht="30">
      <c r="A49" s="215">
        <v>2</v>
      </c>
      <c r="B49" s="330" t="s">
        <v>455</v>
      </c>
      <c r="C49" s="331"/>
      <c r="D49" s="568"/>
      <c r="E49" s="568"/>
      <c r="F49" s="568"/>
      <c r="G49" s="568"/>
      <c r="H49" s="568"/>
      <c r="I49" s="569"/>
      <c r="J49" s="568"/>
      <c r="K49" s="783"/>
    </row>
    <row r="50" spans="1:11" s="336" customFormat="1" ht="15">
      <c r="A50" s="215"/>
      <c r="B50" s="330" t="s">
        <v>456</v>
      </c>
      <c r="C50" s="777" t="s">
        <v>13</v>
      </c>
      <c r="D50" s="568">
        <v>100</v>
      </c>
      <c r="E50" s="568">
        <v>100</v>
      </c>
      <c r="F50" s="568">
        <v>100</v>
      </c>
      <c r="G50" s="568">
        <v>100</v>
      </c>
      <c r="H50" s="568">
        <v>100</v>
      </c>
      <c r="I50" s="569"/>
      <c r="J50" s="568"/>
      <c r="K50" s="783"/>
    </row>
    <row r="51" spans="1:11" s="336" customFormat="1" ht="15">
      <c r="A51" s="215"/>
      <c r="B51" s="330" t="s">
        <v>457</v>
      </c>
      <c r="C51" s="777"/>
      <c r="D51" s="568">
        <v>100</v>
      </c>
      <c r="E51" s="568">
        <v>100</v>
      </c>
      <c r="F51" s="568">
        <v>100</v>
      </c>
      <c r="G51" s="568">
        <v>100</v>
      </c>
      <c r="H51" s="568">
        <v>100</v>
      </c>
      <c r="I51" s="569"/>
      <c r="J51" s="568"/>
      <c r="K51" s="783"/>
    </row>
    <row r="52" spans="1:11" s="336" customFormat="1" ht="15">
      <c r="A52" s="215">
        <v>3</v>
      </c>
      <c r="B52" s="330" t="s">
        <v>458</v>
      </c>
      <c r="C52" s="331"/>
      <c r="D52" s="568"/>
      <c r="E52" s="568"/>
      <c r="F52" s="568"/>
      <c r="G52" s="568"/>
      <c r="H52" s="568"/>
      <c r="I52" s="569"/>
      <c r="J52" s="568"/>
      <c r="K52" s="783"/>
    </row>
    <row r="53" spans="1:11" s="336" customFormat="1" ht="15">
      <c r="A53" s="215"/>
      <c r="B53" s="330" t="s">
        <v>456</v>
      </c>
      <c r="C53" s="777" t="s">
        <v>13</v>
      </c>
      <c r="D53" s="568">
        <v>100</v>
      </c>
      <c r="E53" s="568">
        <v>100</v>
      </c>
      <c r="F53" s="568">
        <v>100</v>
      </c>
      <c r="G53" s="568">
        <v>100</v>
      </c>
      <c r="H53" s="568">
        <v>100</v>
      </c>
      <c r="I53" s="569"/>
      <c r="J53" s="568"/>
      <c r="K53" s="783"/>
    </row>
    <row r="54" spans="1:11" s="336" customFormat="1" ht="15">
      <c r="A54" s="215"/>
      <c r="B54" s="330" t="s">
        <v>457</v>
      </c>
      <c r="C54" s="777"/>
      <c r="D54" s="568">
        <v>100</v>
      </c>
      <c r="E54" s="568">
        <v>100</v>
      </c>
      <c r="F54" s="568">
        <v>100</v>
      </c>
      <c r="G54" s="568">
        <v>100</v>
      </c>
      <c r="H54" s="568">
        <v>100</v>
      </c>
      <c r="I54" s="569"/>
      <c r="J54" s="568"/>
      <c r="K54" s="783"/>
    </row>
    <row r="55" spans="1:11" s="336" customFormat="1" ht="30">
      <c r="A55" s="215">
        <v>4</v>
      </c>
      <c r="B55" s="330" t="s">
        <v>459</v>
      </c>
      <c r="C55" s="331" t="s">
        <v>13</v>
      </c>
      <c r="D55" s="568">
        <v>100</v>
      </c>
      <c r="E55" s="568">
        <v>100</v>
      </c>
      <c r="F55" s="568">
        <v>100</v>
      </c>
      <c r="G55" s="568">
        <v>100</v>
      </c>
      <c r="H55" s="568">
        <v>100</v>
      </c>
      <c r="I55" s="569"/>
      <c r="J55" s="568"/>
      <c r="K55" s="783"/>
    </row>
    <row r="56" spans="1:11" s="336" customFormat="1" ht="30">
      <c r="A56" s="215">
        <v>5</v>
      </c>
      <c r="B56" s="330" t="s">
        <v>460</v>
      </c>
      <c r="C56" s="331"/>
      <c r="D56" s="568"/>
      <c r="E56" s="568"/>
      <c r="F56" s="568"/>
      <c r="G56" s="568"/>
      <c r="H56" s="568"/>
      <c r="I56" s="569"/>
      <c r="J56" s="568"/>
      <c r="K56" s="783"/>
    </row>
    <row r="57" spans="1:11" s="336" customFormat="1" ht="15">
      <c r="A57" s="215"/>
      <c r="B57" s="330" t="s">
        <v>456</v>
      </c>
      <c r="C57" s="777" t="s">
        <v>13</v>
      </c>
      <c r="D57" s="568">
        <v>97</v>
      </c>
      <c r="E57" s="568">
        <v>97</v>
      </c>
      <c r="F57" s="568">
        <v>97</v>
      </c>
      <c r="G57" s="568">
        <v>97</v>
      </c>
      <c r="H57" s="568">
        <v>97</v>
      </c>
      <c r="I57" s="569"/>
      <c r="J57" s="568"/>
      <c r="K57" s="783"/>
    </row>
    <row r="58" spans="1:11" s="336" customFormat="1" ht="15">
      <c r="A58" s="215"/>
      <c r="B58" s="330" t="s">
        <v>457</v>
      </c>
      <c r="C58" s="777"/>
      <c r="D58" s="568">
        <v>95</v>
      </c>
      <c r="E58" s="568">
        <v>95</v>
      </c>
      <c r="F58" s="568">
        <v>95</v>
      </c>
      <c r="G58" s="568">
        <v>95</v>
      </c>
      <c r="H58" s="568">
        <v>95</v>
      </c>
      <c r="I58" s="569"/>
      <c r="J58" s="568"/>
      <c r="K58" s="783"/>
    </row>
    <row r="59" spans="1:11" s="102" customFormat="1" ht="24" hidden="1">
      <c r="A59" s="215"/>
      <c r="B59" s="122" t="s">
        <v>461</v>
      </c>
      <c r="C59" s="123" t="s">
        <v>466</v>
      </c>
      <c r="D59" s="179"/>
      <c r="E59" s="179"/>
      <c r="F59" s="179"/>
      <c r="G59" s="179"/>
      <c r="H59" s="179"/>
      <c r="I59" s="124"/>
      <c r="J59" s="124"/>
      <c r="K59" s="179"/>
    </row>
    <row r="60" spans="1:11" s="102" customFormat="1" ht="15" hidden="1">
      <c r="A60" s="215"/>
      <c r="B60" s="122" t="s">
        <v>462</v>
      </c>
      <c r="C60" s="123" t="s">
        <v>13</v>
      </c>
      <c r="D60" s="179"/>
      <c r="E60" s="179"/>
      <c r="F60" s="179"/>
      <c r="G60" s="179"/>
      <c r="H60" s="179"/>
      <c r="I60" s="124"/>
      <c r="J60" s="124"/>
      <c r="K60" s="179"/>
    </row>
    <row r="61" spans="1:11" s="49" customFormat="1" ht="12.75">
      <c r="A61" s="50"/>
      <c r="D61" s="212"/>
      <c r="E61" s="212"/>
      <c r="F61" s="212"/>
      <c r="G61" s="212"/>
      <c r="H61" s="212"/>
      <c r="K61" s="50"/>
    </row>
    <row r="62" spans="1:11" s="49" customFormat="1" ht="12.75">
      <c r="A62" s="50"/>
      <c r="D62" s="212"/>
      <c r="E62" s="212"/>
      <c r="F62" s="212"/>
      <c r="G62" s="212"/>
      <c r="H62" s="212"/>
      <c r="K62" s="50"/>
    </row>
    <row r="63" spans="1:11" s="49" customFormat="1" ht="12.75">
      <c r="A63" s="50"/>
      <c r="D63" s="212"/>
      <c r="E63" s="212"/>
      <c r="F63" s="212"/>
      <c r="G63" s="212"/>
      <c r="H63" s="212"/>
      <c r="K63" s="50"/>
    </row>
    <row r="64" spans="1:11" s="49" customFormat="1" ht="12.75">
      <c r="A64" s="50"/>
      <c r="D64" s="212"/>
      <c r="E64" s="212"/>
      <c r="F64" s="212"/>
      <c r="G64" s="212"/>
      <c r="H64" s="212"/>
      <c r="K64" s="50"/>
    </row>
    <row r="65" spans="1:11" s="49" customFormat="1" ht="12.75">
      <c r="A65" s="50"/>
      <c r="D65" s="212"/>
      <c r="E65" s="212"/>
      <c r="F65" s="212"/>
      <c r="G65" s="212"/>
      <c r="H65" s="212"/>
      <c r="K65" s="50"/>
    </row>
    <row r="66" spans="1:11" s="49" customFormat="1" ht="12.75">
      <c r="A66" s="50"/>
      <c r="D66" s="212"/>
      <c r="E66" s="212"/>
      <c r="F66" s="212"/>
      <c r="G66" s="212"/>
      <c r="H66" s="212"/>
      <c r="K66" s="50"/>
    </row>
    <row r="67" spans="1:11" s="49" customFormat="1" ht="12.75">
      <c r="A67" s="50"/>
      <c r="D67" s="212"/>
      <c r="E67" s="212"/>
      <c r="F67" s="212"/>
      <c r="G67" s="212"/>
      <c r="H67" s="212"/>
      <c r="K67" s="50"/>
    </row>
    <row r="68" spans="1:11" s="49" customFormat="1" ht="12.75">
      <c r="A68" s="50"/>
      <c r="D68" s="212"/>
      <c r="E68" s="212"/>
      <c r="F68" s="212"/>
      <c r="G68" s="212"/>
      <c r="H68" s="212"/>
      <c r="K68" s="50"/>
    </row>
    <row r="69" spans="1:11" s="49" customFormat="1" ht="12.75">
      <c r="A69" s="50"/>
      <c r="D69" s="212"/>
      <c r="E69" s="212"/>
      <c r="F69" s="212"/>
      <c r="G69" s="212"/>
      <c r="H69" s="212"/>
      <c r="K69" s="50"/>
    </row>
    <row r="70" spans="1:11" s="49" customFormat="1" ht="12.75">
      <c r="A70" s="50"/>
      <c r="D70" s="212"/>
      <c r="E70" s="212"/>
      <c r="F70" s="212"/>
      <c r="G70" s="212"/>
      <c r="H70" s="212"/>
      <c r="K70" s="50"/>
    </row>
    <row r="71" spans="1:11" s="49" customFormat="1" ht="12.75">
      <c r="A71" s="50"/>
      <c r="D71" s="212"/>
      <c r="E71" s="212"/>
      <c r="F71" s="212"/>
      <c r="G71" s="212"/>
      <c r="H71" s="212"/>
      <c r="K71" s="50"/>
    </row>
    <row r="72" spans="1:11" s="49" customFormat="1" ht="12.75">
      <c r="A72" s="50"/>
      <c r="D72" s="212"/>
      <c r="E72" s="212"/>
      <c r="F72" s="212"/>
      <c r="G72" s="212"/>
      <c r="H72" s="212"/>
      <c r="K72" s="50"/>
    </row>
    <row r="73" spans="1:11" s="49" customFormat="1" ht="12.75">
      <c r="A73" s="50"/>
      <c r="D73" s="212"/>
      <c r="E73" s="212"/>
      <c r="F73" s="212"/>
      <c r="G73" s="212"/>
      <c r="H73" s="212"/>
      <c r="K73" s="50"/>
    </row>
    <row r="74" spans="1:11" s="49" customFormat="1" ht="12.75">
      <c r="A74" s="50"/>
      <c r="D74" s="212"/>
      <c r="E74" s="212"/>
      <c r="F74" s="212"/>
      <c r="G74" s="212"/>
      <c r="H74" s="212"/>
      <c r="K74" s="50"/>
    </row>
    <row r="75" spans="1:11" s="49" customFormat="1" ht="12.75">
      <c r="A75" s="50"/>
      <c r="D75" s="212"/>
      <c r="E75" s="212"/>
      <c r="F75" s="212"/>
      <c r="G75" s="212"/>
      <c r="H75" s="212"/>
      <c r="K75" s="50"/>
    </row>
    <row r="76" spans="1:11" s="49" customFormat="1" ht="12.75">
      <c r="A76" s="50"/>
      <c r="D76" s="212"/>
      <c r="E76" s="212"/>
      <c r="F76" s="212"/>
      <c r="G76" s="212"/>
      <c r="H76" s="212"/>
      <c r="K76" s="50"/>
    </row>
    <row r="77" spans="1:11" s="49" customFormat="1" ht="12.75">
      <c r="A77" s="50"/>
      <c r="D77" s="212"/>
      <c r="E77" s="212"/>
      <c r="F77" s="212"/>
      <c r="G77" s="212"/>
      <c r="H77" s="212"/>
      <c r="K77" s="50"/>
    </row>
    <row r="78" spans="1:11" s="49" customFormat="1" ht="12.75">
      <c r="A78" s="50"/>
      <c r="D78" s="212"/>
      <c r="E78" s="212"/>
      <c r="F78" s="212"/>
      <c r="G78" s="212"/>
      <c r="H78" s="212"/>
      <c r="K78" s="50"/>
    </row>
    <row r="79" spans="1:11" s="49" customFormat="1" ht="12.75">
      <c r="A79" s="50"/>
      <c r="D79" s="212"/>
      <c r="E79" s="212"/>
      <c r="F79" s="212"/>
      <c r="G79" s="212"/>
      <c r="H79" s="212"/>
      <c r="K79" s="50"/>
    </row>
    <row r="80" spans="1:11" s="49" customFormat="1" ht="12.75">
      <c r="A80" s="50"/>
      <c r="D80" s="212"/>
      <c r="E80" s="212"/>
      <c r="F80" s="212"/>
      <c r="G80" s="212"/>
      <c r="H80" s="212"/>
      <c r="K80" s="50"/>
    </row>
    <row r="81" spans="1:11" s="49" customFormat="1" ht="12.75">
      <c r="A81" s="50"/>
      <c r="D81" s="212"/>
      <c r="E81" s="212"/>
      <c r="F81" s="212"/>
      <c r="G81" s="212"/>
      <c r="H81" s="212"/>
      <c r="K81" s="50"/>
    </row>
    <row r="82" spans="1:11" s="49" customFormat="1" ht="12.75">
      <c r="A82" s="50"/>
      <c r="D82" s="212"/>
      <c r="E82" s="212"/>
      <c r="F82" s="212"/>
      <c r="G82" s="212"/>
      <c r="H82" s="212"/>
      <c r="K82" s="50"/>
    </row>
    <row r="83" spans="1:11" s="49" customFormat="1" ht="12.75">
      <c r="A83" s="50"/>
      <c r="D83" s="212"/>
      <c r="E83" s="212"/>
      <c r="F83" s="212"/>
      <c r="G83" s="212"/>
      <c r="H83" s="212"/>
      <c r="K83" s="50"/>
    </row>
    <row r="84" spans="1:11" s="49" customFormat="1" ht="12.75">
      <c r="A84" s="50"/>
      <c r="D84" s="212"/>
      <c r="E84" s="212"/>
      <c r="F84" s="212"/>
      <c r="G84" s="212"/>
      <c r="H84" s="212"/>
      <c r="K84" s="50"/>
    </row>
    <row r="85" spans="1:11" s="49" customFormat="1" ht="12.75">
      <c r="A85" s="50"/>
      <c r="D85" s="212"/>
      <c r="E85" s="212"/>
      <c r="F85" s="212"/>
      <c r="G85" s="212"/>
      <c r="H85" s="212"/>
      <c r="K85" s="50"/>
    </row>
    <row r="86" spans="1:11" s="49" customFormat="1" ht="12.75">
      <c r="A86" s="50"/>
      <c r="D86" s="212"/>
      <c r="E86" s="212"/>
      <c r="F86" s="212"/>
      <c r="G86" s="212"/>
      <c r="H86" s="212"/>
      <c r="K86" s="50"/>
    </row>
    <row r="87" spans="1:11" s="49" customFormat="1" ht="12.75">
      <c r="A87" s="50"/>
      <c r="D87" s="212"/>
      <c r="E87" s="212"/>
      <c r="F87" s="212"/>
      <c r="G87" s="212"/>
      <c r="H87" s="212"/>
      <c r="K87" s="50"/>
    </row>
    <row r="88" spans="1:11" s="49" customFormat="1" ht="12.75">
      <c r="A88" s="50"/>
      <c r="D88" s="212"/>
      <c r="E88" s="212"/>
      <c r="F88" s="212"/>
      <c r="G88" s="212"/>
      <c r="H88" s="212"/>
      <c r="K88" s="50"/>
    </row>
    <row r="89" spans="1:11" s="49" customFormat="1" ht="12.75">
      <c r="A89" s="50"/>
      <c r="D89" s="212"/>
      <c r="E89" s="212"/>
      <c r="F89" s="212"/>
      <c r="G89" s="212"/>
      <c r="H89" s="212"/>
      <c r="K89" s="50"/>
    </row>
    <row r="90" spans="1:11" s="49" customFormat="1" ht="12.75">
      <c r="A90" s="50"/>
      <c r="D90" s="212"/>
      <c r="E90" s="212"/>
      <c r="F90" s="212"/>
      <c r="G90" s="212"/>
      <c r="H90" s="212"/>
      <c r="K90" s="50"/>
    </row>
    <row r="91" spans="1:11" s="49" customFormat="1" ht="12.75">
      <c r="A91" s="50"/>
      <c r="D91" s="212"/>
      <c r="E91" s="212"/>
      <c r="F91" s="212"/>
      <c r="G91" s="212"/>
      <c r="H91" s="212"/>
      <c r="K91" s="50"/>
    </row>
    <row r="92" spans="1:11" s="49" customFormat="1" ht="12.75">
      <c r="A92" s="50"/>
      <c r="D92" s="212"/>
      <c r="E92" s="212"/>
      <c r="F92" s="212"/>
      <c r="G92" s="212"/>
      <c r="H92" s="212"/>
      <c r="K92" s="50"/>
    </row>
    <row r="93" spans="1:11" s="49" customFormat="1" ht="12.75">
      <c r="A93" s="50"/>
      <c r="D93" s="212"/>
      <c r="E93" s="212"/>
      <c r="F93" s="212"/>
      <c r="G93" s="212"/>
      <c r="H93" s="212"/>
      <c r="K93" s="50"/>
    </row>
    <row r="94" spans="1:11" s="49" customFormat="1" ht="12.75">
      <c r="A94" s="50"/>
      <c r="D94" s="212"/>
      <c r="E94" s="212"/>
      <c r="F94" s="212"/>
      <c r="G94" s="212"/>
      <c r="H94" s="212"/>
      <c r="K94" s="50"/>
    </row>
    <row r="95" spans="1:11" s="49" customFormat="1" ht="12.75">
      <c r="A95" s="50"/>
      <c r="D95" s="212"/>
      <c r="E95" s="212"/>
      <c r="F95" s="212"/>
      <c r="G95" s="212"/>
      <c r="H95" s="212"/>
      <c r="K95" s="50"/>
    </row>
    <row r="96" spans="1:11" s="49" customFormat="1" ht="12.75">
      <c r="A96" s="50"/>
      <c r="D96" s="212"/>
      <c r="E96" s="212"/>
      <c r="F96" s="212"/>
      <c r="G96" s="212"/>
      <c r="H96" s="212"/>
      <c r="K96" s="50"/>
    </row>
    <row r="97" spans="1:11" s="49" customFormat="1" ht="12.75">
      <c r="A97" s="50"/>
      <c r="D97" s="212"/>
      <c r="E97" s="212"/>
      <c r="F97" s="212"/>
      <c r="G97" s="212"/>
      <c r="H97" s="212"/>
      <c r="K97" s="50"/>
    </row>
    <row r="98" spans="1:11" s="49" customFormat="1" ht="12.75">
      <c r="A98" s="50"/>
      <c r="D98" s="212"/>
      <c r="E98" s="212"/>
      <c r="F98" s="212"/>
      <c r="G98" s="212"/>
      <c r="H98" s="212"/>
      <c r="K98" s="50"/>
    </row>
    <row r="99" spans="1:11" s="49" customFormat="1" ht="12.75">
      <c r="A99" s="50"/>
      <c r="D99" s="212"/>
      <c r="E99" s="212"/>
      <c r="F99" s="212"/>
      <c r="G99" s="212"/>
      <c r="H99" s="212"/>
      <c r="K99" s="50"/>
    </row>
    <row r="100" spans="1:11" s="49" customFormat="1" ht="12.75">
      <c r="A100" s="50"/>
      <c r="D100" s="212"/>
      <c r="E100" s="212"/>
      <c r="F100" s="212"/>
      <c r="G100" s="212"/>
      <c r="H100" s="212"/>
      <c r="K100" s="50"/>
    </row>
    <row r="101" spans="1:11" s="49" customFormat="1" ht="12.75">
      <c r="A101" s="50"/>
      <c r="D101" s="212"/>
      <c r="E101" s="212"/>
      <c r="F101" s="212"/>
      <c r="G101" s="212"/>
      <c r="H101" s="212"/>
      <c r="K101" s="50"/>
    </row>
    <row r="102" spans="1:11" s="49" customFormat="1" ht="12.75">
      <c r="A102" s="50"/>
      <c r="D102" s="212"/>
      <c r="E102" s="212"/>
      <c r="F102" s="212"/>
      <c r="G102" s="212"/>
      <c r="H102" s="212"/>
      <c r="K102" s="50"/>
    </row>
    <row r="103" spans="1:11" s="49" customFormat="1" ht="12.75">
      <c r="A103" s="50"/>
      <c r="D103" s="212"/>
      <c r="E103" s="212"/>
      <c r="F103" s="212"/>
      <c r="G103" s="212"/>
      <c r="H103" s="212"/>
      <c r="K103" s="50"/>
    </row>
    <row r="104" spans="1:11" s="49" customFormat="1" ht="12.75">
      <c r="A104" s="50"/>
      <c r="D104" s="212"/>
      <c r="E104" s="212"/>
      <c r="F104" s="212"/>
      <c r="G104" s="212"/>
      <c r="H104" s="212"/>
      <c r="K104" s="50"/>
    </row>
    <row r="105" spans="1:11" s="49" customFormat="1" ht="12.75">
      <c r="A105" s="50"/>
      <c r="D105" s="212"/>
      <c r="E105" s="212"/>
      <c r="F105" s="212"/>
      <c r="G105" s="212"/>
      <c r="H105" s="212"/>
      <c r="K105" s="50"/>
    </row>
    <row r="106" spans="1:11" s="49" customFormat="1" ht="12.75">
      <c r="A106" s="50"/>
      <c r="D106" s="212"/>
      <c r="E106" s="212"/>
      <c r="F106" s="212"/>
      <c r="G106" s="212"/>
      <c r="H106" s="212"/>
      <c r="K106" s="50"/>
    </row>
    <row r="107" spans="1:11" s="49" customFormat="1" ht="12.75">
      <c r="A107" s="50"/>
      <c r="D107" s="212"/>
      <c r="E107" s="212"/>
      <c r="F107" s="212"/>
      <c r="G107" s="212"/>
      <c r="H107" s="212"/>
      <c r="K107" s="50"/>
    </row>
    <row r="108" spans="1:11" s="49" customFormat="1" ht="12.75">
      <c r="A108" s="50"/>
      <c r="D108" s="212"/>
      <c r="E108" s="212"/>
      <c r="F108" s="212"/>
      <c r="G108" s="212"/>
      <c r="H108" s="212"/>
      <c r="K108" s="50"/>
    </row>
    <row r="109" spans="1:11" s="49" customFormat="1" ht="12.75">
      <c r="A109" s="50"/>
      <c r="D109" s="212"/>
      <c r="E109" s="212"/>
      <c r="F109" s="212"/>
      <c r="G109" s="212"/>
      <c r="H109" s="212"/>
      <c r="K109" s="50"/>
    </row>
    <row r="110" spans="1:11" s="49" customFormat="1" ht="12.75">
      <c r="A110" s="50"/>
      <c r="D110" s="212"/>
      <c r="E110" s="212"/>
      <c r="F110" s="212"/>
      <c r="G110" s="212"/>
      <c r="H110" s="212"/>
      <c r="K110" s="50"/>
    </row>
    <row r="111" spans="1:11" s="49" customFormat="1" ht="12.75">
      <c r="A111" s="50"/>
      <c r="D111" s="212"/>
      <c r="E111" s="212"/>
      <c r="F111" s="212"/>
      <c r="G111" s="212"/>
      <c r="H111" s="212"/>
      <c r="K111" s="50"/>
    </row>
    <row r="112" spans="1:11" s="49" customFormat="1" ht="12.75">
      <c r="A112" s="50"/>
      <c r="D112" s="212"/>
      <c r="E112" s="212"/>
      <c r="F112" s="212"/>
      <c r="G112" s="212"/>
      <c r="H112" s="212"/>
      <c r="K112" s="50"/>
    </row>
    <row r="113" spans="1:11" s="49" customFormat="1" ht="12.75">
      <c r="A113" s="50"/>
      <c r="D113" s="212"/>
      <c r="E113" s="212"/>
      <c r="F113" s="212"/>
      <c r="G113" s="212"/>
      <c r="H113" s="212"/>
      <c r="K113" s="50"/>
    </row>
    <row r="114" spans="1:11" s="49" customFormat="1" ht="12.75">
      <c r="A114" s="50"/>
      <c r="D114" s="212"/>
      <c r="E114" s="212"/>
      <c r="F114" s="212"/>
      <c r="G114" s="212"/>
      <c r="H114" s="212"/>
      <c r="K114" s="50"/>
    </row>
    <row r="115" spans="1:11" s="49" customFormat="1" ht="12.75">
      <c r="A115" s="50"/>
      <c r="D115" s="212"/>
      <c r="E115" s="212"/>
      <c r="F115" s="212"/>
      <c r="G115" s="212"/>
      <c r="H115" s="212"/>
      <c r="K115" s="50"/>
    </row>
    <row r="116" spans="1:11" s="49" customFormat="1" ht="12.75">
      <c r="A116" s="50"/>
      <c r="D116" s="212"/>
      <c r="E116" s="212"/>
      <c r="F116" s="212"/>
      <c r="G116" s="212"/>
      <c r="H116" s="212"/>
      <c r="K116" s="50"/>
    </row>
    <row r="117" spans="1:11" s="49" customFormat="1" ht="12.75">
      <c r="A117" s="50"/>
      <c r="D117" s="212"/>
      <c r="E117" s="212"/>
      <c r="F117" s="212"/>
      <c r="G117" s="212"/>
      <c r="H117" s="212"/>
      <c r="K117" s="50"/>
    </row>
    <row r="118" spans="1:11" s="49" customFormat="1" ht="12.75">
      <c r="A118" s="50"/>
      <c r="D118" s="212"/>
      <c r="E118" s="212"/>
      <c r="F118" s="212"/>
      <c r="G118" s="212"/>
      <c r="H118" s="212"/>
      <c r="K118" s="50"/>
    </row>
    <row r="119" spans="1:11" s="49" customFormat="1" ht="12.75">
      <c r="A119" s="50"/>
      <c r="D119" s="212"/>
      <c r="E119" s="212"/>
      <c r="F119" s="212"/>
      <c r="G119" s="212"/>
      <c r="H119" s="212"/>
      <c r="K119" s="50"/>
    </row>
    <row r="120" spans="1:11" s="49" customFormat="1" ht="12.75">
      <c r="A120" s="50"/>
      <c r="D120" s="212"/>
      <c r="E120" s="212"/>
      <c r="F120" s="212"/>
      <c r="G120" s="212"/>
      <c r="H120" s="212"/>
      <c r="K120" s="50"/>
    </row>
    <row r="121" spans="1:11" s="49" customFormat="1" ht="12.75">
      <c r="A121" s="50"/>
      <c r="D121" s="212"/>
      <c r="E121" s="212"/>
      <c r="F121" s="212"/>
      <c r="G121" s="212"/>
      <c r="H121" s="212"/>
      <c r="K121" s="50"/>
    </row>
  </sheetData>
  <sheetProtection/>
  <mergeCells count="20">
    <mergeCell ref="D5:D7"/>
    <mergeCell ref="E5:H5"/>
    <mergeCell ref="E6:E7"/>
    <mergeCell ref="J6:J7"/>
    <mergeCell ref="K6:K7"/>
    <mergeCell ref="J5:K5"/>
    <mergeCell ref="F6:F7"/>
    <mergeCell ref="H6:H7"/>
    <mergeCell ref="I5:I7"/>
    <mergeCell ref="G6:G7"/>
    <mergeCell ref="A1:B1"/>
    <mergeCell ref="C47:C48"/>
    <mergeCell ref="C50:C51"/>
    <mergeCell ref="C53:C54"/>
    <mergeCell ref="C57:C58"/>
    <mergeCell ref="A2:K2"/>
    <mergeCell ref="A3:K3"/>
    <mergeCell ref="A5:A7"/>
    <mergeCell ref="B5:B7"/>
    <mergeCell ref="C5:C7"/>
  </mergeCells>
  <printOptions/>
  <pageMargins left="0.5905511811023623" right="0.1968503937007874" top="0.54" bottom="0.45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1">
      <selection activeCell="C22" sqref="C22"/>
    </sheetView>
  </sheetViews>
  <sheetFormatPr defaultColWidth="9.140625" defaultRowHeight="12.75"/>
  <cols>
    <col min="1" max="1" width="9.140625" style="928" customWidth="1"/>
    <col min="2" max="2" width="51.00390625" style="928" customWidth="1"/>
    <col min="3" max="3" width="10.421875" style="928" customWidth="1"/>
    <col min="4" max="4" width="9.28125" style="928" customWidth="1"/>
    <col min="5" max="5" width="8.421875" style="928" customWidth="1"/>
    <col min="6" max="6" width="8.421875" style="928" hidden="1" customWidth="1"/>
    <col min="7" max="7" width="8.421875" style="928" customWidth="1"/>
    <col min="8" max="8" width="9.7109375" style="928" customWidth="1"/>
    <col min="9" max="9" width="10.28125" style="928" customWidth="1"/>
    <col min="10" max="10" width="16.8515625" style="928" customWidth="1"/>
    <col min="11" max="11" width="15.7109375" style="970" customWidth="1"/>
    <col min="12" max="16384" width="9.140625" style="928" customWidth="1"/>
  </cols>
  <sheetData>
    <row r="1" spans="1:11" ht="18.75">
      <c r="A1" s="926" t="s">
        <v>631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</row>
    <row r="2" spans="1:11" ht="15.75">
      <c r="A2" s="929" t="s">
        <v>630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</row>
    <row r="3" spans="1:11" ht="18.75">
      <c r="A3" s="930" t="str">
        <f>'bieu 7 PTTH'!A3:K3</f>
        <v>(Kèm theo Kế hoạch số:              /KH-UBND ngày     /    /2023 của UBND huyện Tủa Chùa)</v>
      </c>
      <c r="B3" s="930"/>
      <c r="C3" s="930"/>
      <c r="D3" s="930"/>
      <c r="E3" s="930"/>
      <c r="F3" s="930"/>
      <c r="G3" s="930"/>
      <c r="H3" s="930"/>
      <c r="I3" s="930"/>
      <c r="J3" s="930"/>
      <c r="K3" s="930"/>
    </row>
    <row r="4" spans="1:11" ht="15.75">
      <c r="A4" s="931"/>
      <c r="B4" s="931"/>
      <c r="C4" s="931"/>
      <c r="D4" s="931"/>
      <c r="E4" s="931"/>
      <c r="F4" s="931"/>
      <c r="G4" s="931"/>
      <c r="H4" s="931"/>
      <c r="I4" s="931"/>
      <c r="J4" s="931"/>
      <c r="K4" s="932"/>
    </row>
    <row r="5" spans="1:11" ht="24" customHeight="1">
      <c r="A5" s="933" t="s">
        <v>5</v>
      </c>
      <c r="B5" s="933" t="s">
        <v>48</v>
      </c>
      <c r="C5" s="933" t="s">
        <v>157</v>
      </c>
      <c r="D5" s="933" t="s">
        <v>682</v>
      </c>
      <c r="E5" s="934" t="s">
        <v>639</v>
      </c>
      <c r="F5" s="935"/>
      <c r="G5" s="935"/>
      <c r="H5" s="936"/>
      <c r="I5" s="933" t="s">
        <v>692</v>
      </c>
      <c r="J5" s="934" t="s">
        <v>2</v>
      </c>
      <c r="K5" s="936"/>
    </row>
    <row r="6" spans="1:11" ht="21" customHeight="1">
      <c r="A6" s="937"/>
      <c r="B6" s="937"/>
      <c r="C6" s="937"/>
      <c r="D6" s="937"/>
      <c r="E6" s="937" t="s">
        <v>531</v>
      </c>
      <c r="F6" s="938" t="s">
        <v>347</v>
      </c>
      <c r="G6" s="939" t="s">
        <v>634</v>
      </c>
      <c r="H6" s="938" t="s">
        <v>353</v>
      </c>
      <c r="I6" s="937"/>
      <c r="J6" s="763" t="s">
        <v>641</v>
      </c>
      <c r="K6" s="763" t="s">
        <v>642</v>
      </c>
    </row>
    <row r="7" spans="1:11" ht="43.5" customHeight="1">
      <c r="A7" s="940"/>
      <c r="B7" s="940"/>
      <c r="C7" s="940"/>
      <c r="D7" s="940"/>
      <c r="E7" s="940"/>
      <c r="F7" s="941"/>
      <c r="G7" s="938"/>
      <c r="H7" s="941"/>
      <c r="I7" s="940"/>
      <c r="J7" s="759"/>
      <c r="K7" s="759"/>
    </row>
    <row r="8" spans="1:11" ht="18" customHeight="1">
      <c r="A8" s="942" t="s">
        <v>178</v>
      </c>
      <c r="B8" s="943" t="s">
        <v>251</v>
      </c>
      <c r="C8" s="944"/>
      <c r="D8" s="945"/>
      <c r="E8" s="945"/>
      <c r="F8" s="945"/>
      <c r="G8" s="945"/>
      <c r="H8" s="945"/>
      <c r="I8" s="945"/>
      <c r="J8" s="945"/>
      <c r="K8" s="945"/>
    </row>
    <row r="9" spans="1:11" ht="24" customHeight="1">
      <c r="A9" s="944">
        <v>1</v>
      </c>
      <c r="B9" s="946" t="s">
        <v>468</v>
      </c>
      <c r="C9" s="944" t="s">
        <v>467</v>
      </c>
      <c r="D9" s="944">
        <v>4</v>
      </c>
      <c r="E9" s="944">
        <v>4</v>
      </c>
      <c r="F9" s="944">
        <v>4</v>
      </c>
      <c r="G9" s="944">
        <v>4</v>
      </c>
      <c r="H9" s="944">
        <v>4</v>
      </c>
      <c r="I9" s="944">
        <v>4</v>
      </c>
      <c r="J9" s="947">
        <f>H9/D9*100</f>
        <v>100</v>
      </c>
      <c r="K9" s="948">
        <f>I9/H9*100</f>
        <v>100</v>
      </c>
    </row>
    <row r="10" spans="1:11" ht="41.25" customHeight="1">
      <c r="A10" s="944">
        <v>2</v>
      </c>
      <c r="B10" s="946" t="s">
        <v>469</v>
      </c>
      <c r="C10" s="949" t="s">
        <v>573</v>
      </c>
      <c r="D10" s="944">
        <v>34</v>
      </c>
      <c r="E10" s="944">
        <v>34</v>
      </c>
      <c r="F10" s="944">
        <v>34</v>
      </c>
      <c r="G10" s="944">
        <v>34</v>
      </c>
      <c r="H10" s="944">
        <v>34</v>
      </c>
      <c r="I10" s="944">
        <v>34</v>
      </c>
      <c r="J10" s="947">
        <f>H10/D10*100</f>
        <v>100</v>
      </c>
      <c r="K10" s="948">
        <f>I10/H10*100</f>
        <v>100</v>
      </c>
    </row>
    <row r="11" spans="1:11" ht="18" customHeight="1">
      <c r="A11" s="942" t="s">
        <v>4</v>
      </c>
      <c r="B11" s="943" t="s">
        <v>252</v>
      </c>
      <c r="C11" s="942"/>
      <c r="D11" s="950"/>
      <c r="E11" s="950"/>
      <c r="F11" s="944"/>
      <c r="G11" s="944"/>
      <c r="H11" s="950"/>
      <c r="I11" s="950"/>
      <c r="J11" s="951"/>
      <c r="K11" s="952"/>
    </row>
    <row r="12" spans="1:11" ht="23.25" customHeight="1">
      <c r="A12" s="944">
        <v>1</v>
      </c>
      <c r="B12" s="946" t="s">
        <v>470</v>
      </c>
      <c r="C12" s="944" t="s">
        <v>253</v>
      </c>
      <c r="D12" s="944">
        <v>11</v>
      </c>
      <c r="E12" s="944">
        <v>13</v>
      </c>
      <c r="F12" s="944">
        <v>11</v>
      </c>
      <c r="G12" s="944">
        <v>12</v>
      </c>
      <c r="H12" s="944">
        <v>7</v>
      </c>
      <c r="I12" s="944">
        <v>8</v>
      </c>
      <c r="J12" s="953">
        <f>H12/D12*100</f>
        <v>63.63636363636363</v>
      </c>
      <c r="K12" s="954">
        <f>I12/H12*100</f>
        <v>114.28571428571428</v>
      </c>
    </row>
    <row r="13" spans="1:11" ht="25.5" customHeight="1">
      <c r="A13" s="955"/>
      <c r="B13" s="946" t="s">
        <v>471</v>
      </c>
      <c r="C13" s="944" t="s">
        <v>253</v>
      </c>
      <c r="D13" s="944">
        <v>1</v>
      </c>
      <c r="E13" s="944">
        <v>1</v>
      </c>
      <c r="F13" s="944">
        <v>3</v>
      </c>
      <c r="G13" s="944">
        <v>1</v>
      </c>
      <c r="H13" s="944">
        <v>1</v>
      </c>
      <c r="I13" s="944">
        <v>1</v>
      </c>
      <c r="J13" s="947">
        <f>H13/D13*100</f>
        <v>100</v>
      </c>
      <c r="K13" s="948">
        <f>I13/H13*100</f>
        <v>100</v>
      </c>
    </row>
    <row r="14" spans="1:11" ht="21" customHeight="1">
      <c r="A14" s="944">
        <v>2</v>
      </c>
      <c r="B14" s="946" t="s">
        <v>472</v>
      </c>
      <c r="C14" s="949" t="s">
        <v>254</v>
      </c>
      <c r="D14" s="944">
        <v>95</v>
      </c>
      <c r="E14" s="944">
        <v>117</v>
      </c>
      <c r="F14" s="944">
        <v>102</v>
      </c>
      <c r="G14" s="944">
        <v>102</v>
      </c>
      <c r="H14" s="944">
        <v>64</v>
      </c>
      <c r="I14" s="944">
        <v>71</v>
      </c>
      <c r="J14" s="953">
        <f aca="true" t="shared" si="0" ref="J14:J25">H14/D14*100</f>
        <v>67.36842105263158</v>
      </c>
      <c r="K14" s="956">
        <f aca="true" t="shared" si="1" ref="K14:K22">I14/H14*100</f>
        <v>110.9375</v>
      </c>
    </row>
    <row r="15" spans="1:11" ht="21.75" customHeight="1">
      <c r="A15" s="955"/>
      <c r="B15" s="946" t="s">
        <v>473</v>
      </c>
      <c r="C15" s="944" t="s">
        <v>254</v>
      </c>
      <c r="D15" s="944">
        <v>7</v>
      </c>
      <c r="E15" s="944">
        <v>7</v>
      </c>
      <c r="F15" s="944">
        <v>26</v>
      </c>
      <c r="G15" s="944">
        <v>7</v>
      </c>
      <c r="H15" s="944">
        <v>7</v>
      </c>
      <c r="I15" s="944">
        <v>7</v>
      </c>
      <c r="J15" s="947">
        <f>H15/D15*100</f>
        <v>100</v>
      </c>
      <c r="K15" s="957">
        <f t="shared" si="1"/>
        <v>100</v>
      </c>
    </row>
    <row r="16" spans="1:11" ht="23.25" customHeight="1" hidden="1">
      <c r="A16" s="944"/>
      <c r="B16" s="958" t="s">
        <v>255</v>
      </c>
      <c r="C16" s="959" t="s">
        <v>256</v>
      </c>
      <c r="D16" s="944"/>
      <c r="E16" s="944"/>
      <c r="F16" s="944"/>
      <c r="G16" s="944"/>
      <c r="H16" s="944"/>
      <c r="I16" s="944"/>
      <c r="J16" s="953" t="e">
        <f t="shared" si="0"/>
        <v>#DIV/0!</v>
      </c>
      <c r="K16" s="956" t="e">
        <f t="shared" si="1"/>
        <v>#DIV/0!</v>
      </c>
    </row>
    <row r="17" spans="1:11" ht="23.25" customHeight="1" hidden="1">
      <c r="A17" s="944"/>
      <c r="B17" s="960" t="s">
        <v>257</v>
      </c>
      <c r="C17" s="959" t="s">
        <v>256</v>
      </c>
      <c r="D17" s="944"/>
      <c r="E17" s="944"/>
      <c r="F17" s="944"/>
      <c r="G17" s="944"/>
      <c r="H17" s="944"/>
      <c r="I17" s="945"/>
      <c r="J17" s="953" t="e">
        <f t="shared" si="0"/>
        <v>#DIV/0!</v>
      </c>
      <c r="K17" s="956" t="e">
        <f t="shared" si="1"/>
        <v>#DIV/0!</v>
      </c>
    </row>
    <row r="18" spans="1:11" ht="23.25" customHeight="1" hidden="1">
      <c r="A18" s="944"/>
      <c r="B18" s="958" t="s">
        <v>258</v>
      </c>
      <c r="C18" s="959" t="s">
        <v>256</v>
      </c>
      <c r="D18" s="944"/>
      <c r="E18" s="944"/>
      <c r="F18" s="944"/>
      <c r="G18" s="944"/>
      <c r="H18" s="944"/>
      <c r="I18" s="945"/>
      <c r="J18" s="953" t="e">
        <f t="shared" si="0"/>
        <v>#DIV/0!</v>
      </c>
      <c r="K18" s="956" t="e">
        <f t="shared" si="1"/>
        <v>#DIV/0!</v>
      </c>
    </row>
    <row r="19" spans="1:11" ht="23.25" customHeight="1" hidden="1">
      <c r="A19" s="944"/>
      <c r="B19" s="958" t="s">
        <v>255</v>
      </c>
      <c r="C19" s="959" t="s">
        <v>256</v>
      </c>
      <c r="D19" s="944">
        <v>408</v>
      </c>
      <c r="E19" s="944">
        <v>415</v>
      </c>
      <c r="F19" s="944">
        <v>470</v>
      </c>
      <c r="G19" s="944"/>
      <c r="H19" s="944">
        <v>510</v>
      </c>
      <c r="I19" s="944">
        <v>550</v>
      </c>
      <c r="J19" s="953">
        <f t="shared" si="0"/>
        <v>125</v>
      </c>
      <c r="K19" s="956">
        <f t="shared" si="1"/>
        <v>107.84313725490196</v>
      </c>
    </row>
    <row r="20" spans="1:11" ht="23.25" customHeight="1" hidden="1">
      <c r="A20" s="944"/>
      <c r="B20" s="960" t="s">
        <v>257</v>
      </c>
      <c r="C20" s="959" t="s">
        <v>256</v>
      </c>
      <c r="D20" s="944">
        <v>32</v>
      </c>
      <c r="E20" s="944">
        <v>35</v>
      </c>
      <c r="F20" s="944">
        <v>40</v>
      </c>
      <c r="G20" s="944"/>
      <c r="H20" s="944">
        <v>42</v>
      </c>
      <c r="I20" s="944">
        <v>42.5</v>
      </c>
      <c r="J20" s="953">
        <f>H20/D20*100</f>
        <v>131.25</v>
      </c>
      <c r="K20" s="956">
        <f t="shared" si="1"/>
        <v>101.19047619047619</v>
      </c>
    </row>
    <row r="21" spans="1:11" ht="24.75" customHeight="1">
      <c r="A21" s="944">
        <v>3</v>
      </c>
      <c r="B21" s="946" t="s">
        <v>474</v>
      </c>
      <c r="C21" s="949" t="s">
        <v>141</v>
      </c>
      <c r="D21" s="944">
        <v>33</v>
      </c>
      <c r="E21" s="944">
        <v>34</v>
      </c>
      <c r="F21" s="944">
        <v>32</v>
      </c>
      <c r="G21" s="944">
        <v>36</v>
      </c>
      <c r="H21" s="944">
        <v>21</v>
      </c>
      <c r="I21" s="944">
        <v>24</v>
      </c>
      <c r="J21" s="953">
        <f t="shared" si="0"/>
        <v>63.63636363636363</v>
      </c>
      <c r="K21" s="954">
        <f t="shared" si="1"/>
        <v>114.28571428571428</v>
      </c>
    </row>
    <row r="22" spans="1:11" ht="22.5" customHeight="1">
      <c r="A22" s="955"/>
      <c r="B22" s="946" t="s">
        <v>476</v>
      </c>
      <c r="C22" s="944" t="s">
        <v>141</v>
      </c>
      <c r="D22" s="961">
        <v>20</v>
      </c>
      <c r="E22" s="961">
        <v>29</v>
      </c>
      <c r="F22" s="961">
        <v>22</v>
      </c>
      <c r="G22" s="961">
        <v>22</v>
      </c>
      <c r="H22" s="961">
        <v>22</v>
      </c>
      <c r="I22" s="961">
        <v>25</v>
      </c>
      <c r="J22" s="962">
        <f t="shared" si="0"/>
        <v>110.00000000000001</v>
      </c>
      <c r="K22" s="962">
        <f t="shared" si="1"/>
        <v>113.63636363636364</v>
      </c>
    </row>
    <row r="23" spans="1:11" ht="23.25" customHeight="1" hidden="1">
      <c r="A23" s="944"/>
      <c r="B23" s="963" t="s">
        <v>259</v>
      </c>
      <c r="C23" s="949" t="s">
        <v>141</v>
      </c>
      <c r="D23" s="945"/>
      <c r="E23" s="944"/>
      <c r="F23" s="944"/>
      <c r="G23" s="944"/>
      <c r="H23" s="944"/>
      <c r="I23" s="944"/>
      <c r="J23" s="947" t="e">
        <f t="shared" si="0"/>
        <v>#DIV/0!</v>
      </c>
      <c r="K23" s="948"/>
    </row>
    <row r="24" spans="1:11" ht="18" customHeight="1">
      <c r="A24" s="944">
        <v>4</v>
      </c>
      <c r="B24" s="946" t="s">
        <v>477</v>
      </c>
      <c r="C24" s="949" t="s">
        <v>141</v>
      </c>
      <c r="D24" s="944">
        <f>D14</f>
        <v>95</v>
      </c>
      <c r="E24" s="944">
        <f>E14</f>
        <v>117</v>
      </c>
      <c r="F24" s="944">
        <f>F14</f>
        <v>102</v>
      </c>
      <c r="G24" s="944">
        <v>107</v>
      </c>
      <c r="H24" s="944">
        <f>H14</f>
        <v>64</v>
      </c>
      <c r="I24" s="944">
        <f>I14</f>
        <v>71</v>
      </c>
      <c r="J24" s="947">
        <f t="shared" si="0"/>
        <v>67.36842105263158</v>
      </c>
      <c r="K24" s="954">
        <f>I24/H24*100</f>
        <v>110.9375</v>
      </c>
    </row>
    <row r="25" spans="1:11" ht="22.5" customHeight="1">
      <c r="A25" s="955"/>
      <c r="B25" s="946" t="s">
        <v>475</v>
      </c>
      <c r="C25" s="944" t="s">
        <v>141</v>
      </c>
      <c r="D25" s="944">
        <f>D24</f>
        <v>95</v>
      </c>
      <c r="E25" s="944">
        <f>E24</f>
        <v>117</v>
      </c>
      <c r="F25" s="944">
        <f>F24</f>
        <v>102</v>
      </c>
      <c r="G25" s="944">
        <v>107</v>
      </c>
      <c r="H25" s="944">
        <f>H24</f>
        <v>64</v>
      </c>
      <c r="I25" s="944">
        <f>I24</f>
        <v>71</v>
      </c>
      <c r="J25" s="947">
        <f t="shared" si="0"/>
        <v>67.36842105263158</v>
      </c>
      <c r="K25" s="954">
        <f>I25/H25*100</f>
        <v>110.9375</v>
      </c>
    </row>
    <row r="26" spans="1:11" ht="23.25" customHeight="1" hidden="1">
      <c r="A26" s="944"/>
      <c r="B26" s="958" t="s">
        <v>260</v>
      </c>
      <c r="C26" s="944" t="s">
        <v>256</v>
      </c>
      <c r="D26" s="944">
        <v>27</v>
      </c>
      <c r="E26" s="944">
        <v>32</v>
      </c>
      <c r="F26" s="944">
        <v>40</v>
      </c>
      <c r="G26" s="944"/>
      <c r="H26" s="944">
        <v>42</v>
      </c>
      <c r="I26" s="944">
        <v>42.5</v>
      </c>
      <c r="J26" s="953">
        <f>H26/D26*100</f>
        <v>155.55555555555557</v>
      </c>
      <c r="K26" s="954">
        <f>I26/H26*100</f>
        <v>101.19047619047619</v>
      </c>
    </row>
    <row r="27" spans="1:11" ht="18" customHeight="1">
      <c r="A27" s="942" t="s">
        <v>179</v>
      </c>
      <c r="B27" s="943" t="s">
        <v>261</v>
      </c>
      <c r="C27" s="942"/>
      <c r="D27" s="950"/>
      <c r="E27" s="950"/>
      <c r="F27" s="944"/>
      <c r="G27" s="944"/>
      <c r="H27" s="950"/>
      <c r="I27" s="950"/>
      <c r="J27" s="953"/>
      <c r="K27" s="954"/>
    </row>
    <row r="28" spans="1:11" ht="22.5" customHeight="1">
      <c r="A28" s="944">
        <v>1</v>
      </c>
      <c r="B28" s="946" t="s">
        <v>552</v>
      </c>
      <c r="C28" s="944" t="s">
        <v>164</v>
      </c>
      <c r="D28" s="964">
        <v>1118</v>
      </c>
      <c r="E28" s="964">
        <v>1168</v>
      </c>
      <c r="F28" s="964">
        <v>906</v>
      </c>
      <c r="G28" s="964">
        <v>1156</v>
      </c>
      <c r="H28" s="964">
        <v>1176</v>
      </c>
      <c r="I28" s="964">
        <f>H28+50</f>
        <v>1226</v>
      </c>
      <c r="J28" s="965">
        <f>H28/D28*100</f>
        <v>105.18783542039355</v>
      </c>
      <c r="K28" s="966">
        <f>I28/H28*100</f>
        <v>104.25170068027212</v>
      </c>
    </row>
    <row r="29" spans="1:11" ht="21.75" customHeight="1">
      <c r="A29" s="944"/>
      <c r="B29" s="960" t="s">
        <v>262</v>
      </c>
      <c r="C29" s="944" t="s">
        <v>164</v>
      </c>
      <c r="D29" s="944">
        <v>74</v>
      </c>
      <c r="E29" s="944">
        <v>50</v>
      </c>
      <c r="F29" s="944">
        <v>15</v>
      </c>
      <c r="G29" s="944">
        <v>41</v>
      </c>
      <c r="H29" s="944">
        <v>61</v>
      </c>
      <c r="I29" s="944">
        <v>50</v>
      </c>
      <c r="J29" s="953">
        <f>H29/D29*100</f>
        <v>82.43243243243244</v>
      </c>
      <c r="K29" s="954">
        <f>I29/H29*100</f>
        <v>81.9672131147541</v>
      </c>
    </row>
    <row r="30" spans="1:11" s="970" customFormat="1" ht="22.5" customHeight="1">
      <c r="A30" s="944">
        <v>2</v>
      </c>
      <c r="B30" s="946" t="s">
        <v>553</v>
      </c>
      <c r="C30" s="944" t="s">
        <v>256</v>
      </c>
      <c r="D30" s="967">
        <v>62150</v>
      </c>
      <c r="E30" s="967">
        <v>59130</v>
      </c>
      <c r="F30" s="967">
        <v>43350</v>
      </c>
      <c r="G30" s="967">
        <v>61725</v>
      </c>
      <c r="H30" s="948">
        <f>G30+400</f>
        <v>62125</v>
      </c>
      <c r="I30" s="968">
        <f>H30+1120</f>
        <v>63245</v>
      </c>
      <c r="J30" s="953">
        <f>H30/D30*100</f>
        <v>99.9597747385358</v>
      </c>
      <c r="K30" s="969">
        <f>I30/H30*100</f>
        <v>101.80281690140845</v>
      </c>
    </row>
  </sheetData>
  <sheetProtection/>
  <mergeCells count="15">
    <mergeCell ref="E5:H5"/>
    <mergeCell ref="E6:E7"/>
    <mergeCell ref="F6:F7"/>
    <mergeCell ref="H6:H7"/>
    <mergeCell ref="J6:J7"/>
    <mergeCell ref="K6:K7"/>
    <mergeCell ref="I5:I7"/>
    <mergeCell ref="J5:K5"/>
    <mergeCell ref="G6:G7"/>
    <mergeCell ref="A2:K2"/>
    <mergeCell ref="A3:K3"/>
    <mergeCell ref="A5:A7"/>
    <mergeCell ref="B5:B7"/>
    <mergeCell ref="C5:C7"/>
    <mergeCell ref="D5:D7"/>
  </mergeCells>
  <printOptions/>
  <pageMargins left="0.5" right="0.2" top="0.55" bottom="0.6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TLC</cp:lastModifiedBy>
  <cp:lastPrinted>2023-07-17T03:23:51Z</cp:lastPrinted>
  <dcterms:created xsi:type="dcterms:W3CDTF">1996-10-14T23:33:28Z</dcterms:created>
  <dcterms:modified xsi:type="dcterms:W3CDTF">2023-07-17T03:24:08Z</dcterms:modified>
  <cp:category/>
  <cp:version/>
  <cp:contentType/>
  <cp:contentStatus/>
</cp:coreProperties>
</file>