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firstSheet="2" activeTab="7"/>
  </bookViews>
  <sheets>
    <sheet name="Bieu 1 nông nghiệp" sheetId="1" r:id="rId1"/>
    <sheet name="BIEU 2 CONG NGHIEP" sheetId="2" r:id="rId2"/>
    <sheet name=" Bieu 3 LDVT" sheetId="3" r:id="rId3"/>
    <sheet name="Bieu 4 SN GĐT" sheetId="4" r:id="rId4"/>
    <sheet name="Y tế" sheetId="5" r:id="rId5"/>
    <sheet name=" Bieu 6 VHTTDL" sheetId="6" r:id="rId6"/>
    <sheet name="bieu 7 PTTH" sheetId="7" r:id="rId7"/>
    <sheet name="Bieu 8 Kinh tế tập thể" sheetId="8" r:id="rId8"/>
  </sheets>
  <definedNames>
    <definedName name="_xlnm.Print_Area" localSheetId="2">' Bieu 3 LDVT'!$A$1:$W$98</definedName>
    <definedName name="_xlnm.Print_Titles" localSheetId="2">' Bieu 3 LDVT'!$6:$8</definedName>
    <definedName name="_xlnm.Print_Titles" localSheetId="5">' Bieu 6 VHTTDL'!$4:$6</definedName>
    <definedName name="_xlnm.Print_Titles" localSheetId="0">'Bieu 1 nông nghiệp'!$5:$7</definedName>
    <definedName name="_xlnm.Print_Titles" localSheetId="3">'Bieu 4 SN GĐT'!$5:$7</definedName>
    <definedName name="_xlnm.Print_Titles" localSheetId="4">'Y tế'!$5:$7</definedName>
  </definedNames>
  <calcPr calcMode="manual" fullCalcOnLoad="1"/>
</workbook>
</file>

<file path=xl/comments1.xml><?xml version="1.0" encoding="utf-8"?>
<comments xmlns="http://schemas.openxmlformats.org/spreadsheetml/2006/main">
  <authors>
    <author>Smart</author>
  </authors>
  <commentList>
    <comment ref="E11" authorId="0">
      <text>
        <r>
          <rPr>
            <b/>
            <sz val="8"/>
            <rFont val="Tahoma"/>
            <family val="2"/>
          </rPr>
          <t>Smart:</t>
        </r>
        <r>
          <rPr>
            <sz val="8"/>
            <rFont val="Tahoma"/>
            <family val="2"/>
          </rPr>
          <t xml:space="preserve">
23.174</t>
        </r>
      </text>
    </comment>
  </commentList>
</comments>
</file>

<file path=xl/comments3.xml><?xml version="1.0" encoding="utf-8"?>
<comments xmlns="http://schemas.openxmlformats.org/spreadsheetml/2006/main">
  <authors>
    <author>Windows User</author>
  </authors>
  <commentList>
    <comment ref="G1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Phòng LĐ đề nghị điều chỉnh theo ý kiến của xã Mường Báng</t>
        </r>
      </text>
    </comment>
    <comment ref="G22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như trên</t>
        </r>
      </text>
    </comment>
  </commentList>
</comments>
</file>

<file path=xl/comments5.xml><?xml version="1.0" encoding="utf-8"?>
<comments xmlns="http://schemas.openxmlformats.org/spreadsheetml/2006/main">
  <authors>
    <author>Smart</author>
  </authors>
  <commentList>
    <comment ref="B73" authorId="0">
      <text>
        <r>
          <rPr>
            <b/>
            <sz val="8"/>
            <rFont val="Tahoma"/>
            <family val="2"/>
          </rPr>
          <t>Smart:</t>
        </r>
        <r>
          <rPr>
            <sz val="8"/>
            <rFont val="Tahoma"/>
            <family val="2"/>
          </rPr>
          <t xml:space="preserve">
= tổng số sinh chia DSTB x1000</t>
        </r>
      </text>
    </comment>
    <comment ref="B74" authorId="0">
      <text>
        <r>
          <rPr>
            <b/>
            <sz val="8"/>
            <rFont val="Tahoma"/>
            <family val="2"/>
          </rPr>
          <t>Smart:</t>
        </r>
        <r>
          <rPr>
            <sz val="8"/>
            <rFont val="Tahoma"/>
            <family val="2"/>
          </rPr>
          <t xml:space="preserve">
= tổng sinh - tổng chết chia DSTB x1000</t>
        </r>
      </text>
    </comment>
    <comment ref="B75" authorId="0">
      <text>
        <r>
          <rPr>
            <b/>
            <sz val="8"/>
            <rFont val="Tahoma"/>
            <family val="2"/>
          </rPr>
          <t>Smart:</t>
        </r>
        <r>
          <rPr>
            <sz val="8"/>
            <rFont val="Tahoma"/>
            <family val="2"/>
          </rPr>
          <t xml:space="preserve">
= tỷ lệ sinh năm trước - tỷ lệ sinh năm sau</t>
        </r>
      </text>
    </comment>
    <comment ref="B76" authorId="0">
      <text>
        <r>
          <rPr>
            <b/>
            <sz val="8"/>
            <rFont val="Tahoma"/>
            <family val="2"/>
          </rPr>
          <t>Smart:</t>
        </r>
        <r>
          <rPr>
            <sz val="8"/>
            <rFont val="Tahoma"/>
            <family val="2"/>
          </rPr>
          <t xml:space="preserve">
= dân số năm sau - DS năm trước chia DS năm trước x100</t>
        </r>
      </text>
    </comment>
  </commentList>
</comments>
</file>

<file path=xl/sharedStrings.xml><?xml version="1.0" encoding="utf-8"?>
<sst xmlns="http://schemas.openxmlformats.org/spreadsheetml/2006/main" count="1435" uniqueCount="705">
  <si>
    <t xml:space="preserve"> Đơn vị tính</t>
  </si>
  <si>
    <t xml:space="preserve"> CHỈ TIÊU VỀ PHÁT TRIỂN LAO ĐỘNG VIỆC LÀM - BẢO VỆ TRẺ EM </t>
  </si>
  <si>
    <t>Tổng số</t>
  </si>
  <si>
    <t>B</t>
  </si>
  <si>
    <t>TT</t>
  </si>
  <si>
    <t xml:space="preserve"> CHỈ TIÊU</t>
  </si>
  <si>
    <t>tính</t>
  </si>
  <si>
    <t xml:space="preserve"> Dân số trung bình</t>
  </si>
  <si>
    <t xml:space="preserve"> Người</t>
  </si>
  <si>
    <t xml:space="preserve">          - Dân số nông thôn</t>
  </si>
  <si>
    <t xml:space="preserve"> Lao động việc làm</t>
  </si>
  <si>
    <t xml:space="preserve">    Tỷ lệ so với dân số</t>
  </si>
  <si>
    <t>%</t>
  </si>
  <si>
    <t xml:space="preserve"> Số lao động chia theo khu vực</t>
  </si>
  <si>
    <t xml:space="preserve"> - Lao động khu vực thành thị</t>
  </si>
  <si>
    <t xml:space="preserve"> - Lao động khu vực nông thôn</t>
  </si>
  <si>
    <t xml:space="preserve">  Tỷ lệ so với lao động trong độ tuổi</t>
  </si>
  <si>
    <t xml:space="preserve">       Tr. đó: Nữ </t>
  </si>
  <si>
    <t xml:space="preserve">  Công nghiệp - Xây dựng</t>
  </si>
  <si>
    <t xml:space="preserve"> Nông nghiệp - Lâm nghiệp - Thủy sản</t>
  </si>
  <si>
    <t xml:space="preserve"> Thương mại - Dịch vụ</t>
  </si>
  <si>
    <t xml:space="preserve"> Tổng số Lao động qua đào tạo</t>
  </si>
  <si>
    <t xml:space="preserve">       Trong đó: Nữ </t>
  </si>
  <si>
    <t xml:space="preserve"> Tỷ lệ thất nghiệp ở khu vực thành thị</t>
  </si>
  <si>
    <t xml:space="preserve">  Chăm sóc và bảo vệ trẻ em</t>
  </si>
  <si>
    <t>Trẻ em</t>
  </si>
  <si>
    <t xml:space="preserve"> Các vấn đề xã hội</t>
  </si>
  <si>
    <t xml:space="preserve"> Trật tự an toàn xã hội</t>
  </si>
  <si>
    <t xml:space="preserve"> Số người được cai nghiện</t>
  </si>
  <si>
    <t xml:space="preserve"> Xoá đói giảm nghèo</t>
  </si>
  <si>
    <t xml:space="preserve"> Tổng số hộ cuối năm</t>
  </si>
  <si>
    <t xml:space="preserve"> Hộ</t>
  </si>
  <si>
    <t xml:space="preserve"> Số hộ đói nghèo đầu kỳ theo chuẩn Quốc gia</t>
  </si>
  <si>
    <t xml:space="preserve"> Số hộ đói nghèo cuối kỳ theo chuẩn Quốc gia </t>
  </si>
  <si>
    <t xml:space="preserve"> Số hộ thoát nghèo</t>
  </si>
  <si>
    <t xml:space="preserve"> Tỷ lệ hộ nghèo</t>
  </si>
  <si>
    <t xml:space="preserve"> Đào tạo nghề xã hội</t>
  </si>
  <si>
    <t xml:space="preserve"> H/ viên</t>
  </si>
  <si>
    <t xml:space="preserve"> Hệ Trung cấp nghề</t>
  </si>
  <si>
    <t xml:space="preserve"> Hệ Cao đẳng nghề </t>
  </si>
  <si>
    <t xml:space="preserve">    Phân bổ chỉ tiêu đào tạo:</t>
  </si>
  <si>
    <t xml:space="preserve"> - Hệ Cao đẳng nghề</t>
  </si>
  <si>
    <t xml:space="preserve"> - Hệ Sơ cấp nghề và DN dưới 3 tháng</t>
  </si>
  <si>
    <t xml:space="preserve">  Cơ sở dạy nghề khác</t>
  </si>
  <si>
    <t>Số TT</t>
  </si>
  <si>
    <t>Đơn vị tính</t>
  </si>
  <si>
    <t>Thực hiện 2010</t>
  </si>
  <si>
    <t>Kế hoạch 2012</t>
  </si>
  <si>
    <t>Chia ra</t>
  </si>
  <si>
    <t>Chỉ tiêu</t>
  </si>
  <si>
    <t xml:space="preserve">Thực hiện 2011 </t>
  </si>
  <si>
    <t>Thành phố ĐBP</t>
  </si>
  <si>
    <t>H.Điện Biên</t>
  </si>
  <si>
    <t>Đ.Biên Đông</t>
  </si>
  <si>
    <t>Mường Lay</t>
  </si>
  <si>
    <t>Mường Chà</t>
  </si>
  <si>
    <t>Mường Nhé</t>
  </si>
  <si>
    <t>Mường Ảng</t>
  </si>
  <si>
    <t>Tuần Giáo</t>
  </si>
  <si>
    <t>Tủa Chùa</t>
  </si>
  <si>
    <t>Số học sinh có mặt đầu năm học</t>
  </si>
  <si>
    <t>H/Sinh</t>
  </si>
  <si>
    <t>Giáo dục mầm non</t>
  </si>
  <si>
    <t>- Số cháu vào nhà trẻ</t>
  </si>
  <si>
    <t>Cháu</t>
  </si>
  <si>
    <t xml:space="preserve">- Số học sinh mẫu giáo </t>
  </si>
  <si>
    <t>- Số trẻ 5 tuổi</t>
  </si>
  <si>
    <t>Trẻ</t>
  </si>
  <si>
    <t>- Tỷ lệ huy động trẻ ra lớp/dân số độ tuổi</t>
  </si>
  <si>
    <t>- Tỷ lệ trẻ mầm non là nữ</t>
  </si>
  <si>
    <t>- Tỷ lệ trẻ suy dinh dưỡng thể nhẹ cân</t>
  </si>
  <si>
    <t>- Tỷ lệ trẻ suy dinh dưỡng thể thấp còi</t>
  </si>
  <si>
    <t>-  Tỷ lệ huy động trẻ:  Từ 0-2 tuổi</t>
  </si>
  <si>
    <t xml:space="preserve">                    Từ  3-5 tuổi ra lớp</t>
  </si>
  <si>
    <t xml:space="preserve">                    5 tuổi ra lớp mẫu giáo</t>
  </si>
  <si>
    <t>Hệ phổ thông</t>
  </si>
  <si>
    <t>- Học sinh bán trú</t>
  </si>
  <si>
    <t>- Tỷ lệ học sinh nữ/tổng số học sinh</t>
  </si>
  <si>
    <t>- Tỷ lệ học sinh nữ/tổng số HS</t>
  </si>
  <si>
    <t>- Tỷ lệ học sinh đúng độ tuổi</t>
  </si>
  <si>
    <t>- Tỷ lệ học sinh bỏ học</t>
  </si>
  <si>
    <t xml:space="preserve">- Tỷ lệ học sinh lưu ban </t>
  </si>
  <si>
    <t>- Tỷ lệ học sinh lưu ban</t>
  </si>
  <si>
    <t>Tiểu học</t>
  </si>
  <si>
    <t>- Tỷ lệ học sinh 6 tuổi học lớp 1</t>
  </si>
  <si>
    <t>- Tỷ lệ học sinh 6 tuổi vào lớp 1</t>
  </si>
  <si>
    <t>- Tỷ lệ học sinh 6-10 tuổi học</t>
  </si>
  <si>
    <t>0,1</t>
  </si>
  <si>
    <t xml:space="preserve">Trung học cơ sở </t>
  </si>
  <si>
    <t xml:space="preserve">- Tỷ lệ học sinh 11 tuổi học lớp 6 </t>
  </si>
  <si>
    <t xml:space="preserve">- Tỷ lệ học sinh 11 tuổi vào lớp 6 </t>
  </si>
  <si>
    <t>- Tỷ lệ học sinh 11-14 tuổi học THCS</t>
  </si>
  <si>
    <t>Trung học phổ thông</t>
  </si>
  <si>
    <t xml:space="preserve">- Tỷ lệ học sinh 15 tuổi vào lớp 10 </t>
  </si>
  <si>
    <t>- Tỷ lệ học sinh 15-18 tuổi học THPT</t>
  </si>
  <si>
    <t>"</t>
  </si>
  <si>
    <t xml:space="preserve">Trong đó: HS các trường DTNT </t>
  </si>
  <si>
    <t>Hệ bổ túc văn hóa</t>
  </si>
  <si>
    <t>- Học sinh PCGDTH-XMC</t>
  </si>
  <si>
    <t>- Học sinh PCGD THCS</t>
  </si>
  <si>
    <t>- Học sinh bổ túc THPT</t>
  </si>
  <si>
    <t>Hướng nghiệp dạy nghề cho h/sinh PT</t>
  </si>
  <si>
    <t>- Học sinh THCS</t>
  </si>
  <si>
    <t>- Học sinh THPT</t>
  </si>
  <si>
    <t xml:space="preserve">Phổ cập giáo dục </t>
  </si>
  <si>
    <t>xã</t>
  </si>
  <si>
    <t xml:space="preserve">IV </t>
  </si>
  <si>
    <t xml:space="preserve"> Cơ sở vật chất trường học </t>
  </si>
  <si>
    <t>Trường</t>
  </si>
  <si>
    <t>Trường Mầm non</t>
  </si>
  <si>
    <t>Tr. đó:  Trường đạt chuẩn Quốc gia</t>
  </si>
  <si>
    <t>Các trường phổ thông</t>
  </si>
  <si>
    <t>Tr. đó: - Các trường PT DTNT tỉnh, huyện</t>
  </si>
  <si>
    <t xml:space="preserve">  - Tổng số trường đạt chuẩn Q.gia</t>
  </si>
  <si>
    <t xml:space="preserve"> 2.1</t>
  </si>
  <si>
    <t xml:space="preserve"> Trường Tiểu học</t>
  </si>
  <si>
    <t>2.1. Trường Tiểu học</t>
  </si>
  <si>
    <t>Tr. đó:  - Trường đạt chuẩn Quốc gia</t>
  </si>
  <si>
    <t xml:space="preserve">   - Số trường PTDTBT</t>
  </si>
  <si>
    <t>2.2</t>
  </si>
  <si>
    <t xml:space="preserve"> Trường THCS</t>
  </si>
  <si>
    <t>2.2. Trường THCS</t>
  </si>
  <si>
    <t>Trong đó: Trường đạt chuẩn Quốc gia</t>
  </si>
  <si>
    <t>Trong đó: trường đạt chuẩn Quốc gia</t>
  </si>
  <si>
    <t>2.3</t>
  </si>
  <si>
    <t xml:space="preserve"> Trường THPT</t>
  </si>
  <si>
    <t>2.3. Trường THPT</t>
  </si>
  <si>
    <t>Tr. đó: Trường đạt chuẩn Quốc gia</t>
  </si>
  <si>
    <t>Trung tâm GDTX huyện, tỉnh</t>
  </si>
  <si>
    <t xml:space="preserve">Đơn vị tính </t>
  </si>
  <si>
    <t>Chỉ tiêu hoạt động:</t>
  </si>
  <si>
    <t>%o</t>
  </si>
  <si>
    <t>Tỷ lệ trẻ sơ sinh dưới 2500 gr</t>
  </si>
  <si>
    <t>Tỷ lệ dân số dùng muối Iốt</t>
  </si>
  <si>
    <t>Uốn ván</t>
  </si>
  <si>
    <t>1/100.000</t>
  </si>
  <si>
    <t>Sốt rét</t>
  </si>
  <si>
    <t>HIV/AIDS còn sống</t>
  </si>
  <si>
    <t>Phong (BN phong mới phát hiện)</t>
  </si>
  <si>
    <t xml:space="preserve">Tâm thần </t>
  </si>
  <si>
    <t>Thuốc tiêu dùng bình quân người/năm</t>
  </si>
  <si>
    <t>Đồng</t>
  </si>
  <si>
    <t>Cơ sở cung cấp dịch vụ y tế</t>
  </si>
  <si>
    <t>Tuyến huyện</t>
  </si>
  <si>
    <t>Phòng khám đa khoa khu vực</t>
  </si>
  <si>
    <t>Đội y tế dự phòng</t>
  </si>
  <si>
    <t>Đội</t>
  </si>
  <si>
    <t>Đội Bảo vệ bà mẹ trẻ em - KHHGĐ</t>
  </si>
  <si>
    <t>Trạm</t>
  </si>
  <si>
    <t>Giường bệnh:</t>
  </si>
  <si>
    <t>Giường</t>
  </si>
  <si>
    <t>1/10.000</t>
  </si>
  <si>
    <t>Giường bệnh Bệnh viện huyện</t>
  </si>
  <si>
    <t>Giường bệnh trạm y tế xã (giường lưu)</t>
  </si>
  <si>
    <t>Nhân lực y tế:</t>
  </si>
  <si>
    <t>Tỷ lệ bản có Nhân viên y tế thôn bản</t>
  </si>
  <si>
    <t>V</t>
  </si>
  <si>
    <t>Xã</t>
  </si>
  <si>
    <t>VI</t>
  </si>
  <si>
    <t>Dân số - Kế hoạch hóa gia đình</t>
  </si>
  <si>
    <t>Dân số</t>
  </si>
  <si>
    <t>Dân số trung bình</t>
  </si>
  <si>
    <t>Người</t>
  </si>
  <si>
    <t xml:space="preserve"> - Tỷ lệ sinh</t>
  </si>
  <si>
    <t xml:space="preserve"> - Tỷ lệ phát triển dân số</t>
  </si>
  <si>
    <t>Dân số phân theo giới tính</t>
  </si>
  <si>
    <t xml:space="preserve"> - Dân số nam</t>
  </si>
  <si>
    <t xml:space="preserve">     Tỷ lệ so với tổng dân số</t>
  </si>
  <si>
    <t xml:space="preserve"> - Dân số nữ</t>
  </si>
  <si>
    <t xml:space="preserve">    Tỷ lệ so với tổng dân số</t>
  </si>
  <si>
    <t>Dân số phân theo thành thị, nông thôn</t>
  </si>
  <si>
    <t xml:space="preserve"> - Dân số thành thị</t>
  </si>
  <si>
    <t xml:space="preserve"> - Dân số nông thôn</t>
  </si>
  <si>
    <t>Kế hoạch hóa gia đình:</t>
  </si>
  <si>
    <t xml:space="preserve"> - Tỷ lệ nữ từ 15 - 49 tuổi so với dân số</t>
  </si>
  <si>
    <t xml:space="preserve"> - Tỷ lệ các cặp vợ chồng thực hiện các biện pháp tránh thai</t>
  </si>
  <si>
    <t xml:space="preserve"> - Tỷ lệ các bà mẹ sinh con thứ 3 trở lên so với tổng số bà mẹ sinh con trong năm</t>
  </si>
  <si>
    <t xml:space="preserve"> Chỉ tiêu hoạt động</t>
  </si>
  <si>
    <t>Đơn vị</t>
  </si>
  <si>
    <t>Di tích</t>
  </si>
  <si>
    <t>Tỷ đồng</t>
  </si>
  <si>
    <t>Thể thao quần chúng</t>
  </si>
  <si>
    <t>Thể thao thành tích cao</t>
  </si>
  <si>
    <t>VĐV</t>
  </si>
  <si>
    <t xml:space="preserve">Trong đó: </t>
  </si>
  <si>
    <t>Tỷ lệ  xã, phường, thị trấn xây dựng kế hoạch công tác gia đình và phòng chống bạo lực gia đình;</t>
  </si>
  <si>
    <t>Hộ</t>
  </si>
  <si>
    <t xml:space="preserve">            Từ 3-5 tuổi ra lớp</t>
  </si>
  <si>
    <t xml:space="preserve">           5 tuổi ra lớp mẫu giáo</t>
  </si>
  <si>
    <t xml:space="preserve"> - Tổng số trường PTDTBT</t>
  </si>
  <si>
    <t>CHỈ TIÊU</t>
  </si>
  <si>
    <t>I</t>
  </si>
  <si>
    <t xml:space="preserve"> </t>
  </si>
  <si>
    <t>a</t>
  </si>
  <si>
    <t>b</t>
  </si>
  <si>
    <t>c</t>
  </si>
  <si>
    <t>II</t>
  </si>
  <si>
    <t>III</t>
  </si>
  <si>
    <t>IV</t>
  </si>
  <si>
    <t>*</t>
  </si>
  <si>
    <t xml:space="preserve"> Trường Trung cấp nghề tỉnh</t>
  </si>
  <si>
    <t xml:space="preserve"> - Hệ Trung cấp nghề</t>
  </si>
  <si>
    <t>A</t>
  </si>
  <si>
    <t>C</t>
  </si>
  <si>
    <t xml:space="preserve"> Trung tâm dạy nghề huyện</t>
  </si>
  <si>
    <t>S
TT</t>
  </si>
  <si>
    <t>ĐVT</t>
  </si>
  <si>
    <t>Trong đó</t>
  </si>
  <si>
    <t>Xá Nhè</t>
  </si>
  <si>
    <t>Tấn</t>
  </si>
  <si>
    <t>Ha</t>
  </si>
  <si>
    <t>T/ha</t>
  </si>
  <si>
    <t>Diện tích</t>
  </si>
  <si>
    <t>Năng xuất</t>
  </si>
  <si>
    <t>Sản lượng</t>
  </si>
  <si>
    <t>Lúa mùa</t>
  </si>
  <si>
    <t>Cây công nghiệp</t>
  </si>
  <si>
    <t>Cây CN ngắn ngày</t>
  </si>
  <si>
    <t>Sắn</t>
  </si>
  <si>
    <t>Khoai</t>
  </si>
  <si>
    <t>Đậu tương xuân</t>
  </si>
  <si>
    <t>Đậu tương mùa</t>
  </si>
  <si>
    <t>Bông</t>
  </si>
  <si>
    <t>Lạc</t>
  </si>
  <si>
    <t>Sản lượng búp tươi</t>
  </si>
  <si>
    <t>Chăn nuôi</t>
  </si>
  <si>
    <t>Đàn trâu</t>
  </si>
  <si>
    <t>Con</t>
  </si>
  <si>
    <t>Đàn bò</t>
  </si>
  <si>
    <t>Đàn lợn</t>
  </si>
  <si>
    <t>Đàn dê</t>
  </si>
  <si>
    <t xml:space="preserve">Thủy sản: </t>
  </si>
  <si>
    <t>Diện tích nuôi trồng</t>
  </si>
  <si>
    <t>Sản lượng nuôi trồng</t>
  </si>
  <si>
    <t>Sản lượng khai thác</t>
  </si>
  <si>
    <t>Lâm nghiệp</t>
  </si>
  <si>
    <t>Độ che phủ rừng</t>
  </si>
  <si>
    <t>1.1</t>
  </si>
  <si>
    <t>1.2</t>
  </si>
  <si>
    <t>Công nghiệp</t>
  </si>
  <si>
    <t>Vận tải hành khách</t>
  </si>
  <si>
    <t>Hành khách vận chuyển</t>
  </si>
  <si>
    <t>Hành khách luân chuyển</t>
  </si>
  <si>
    <t>Vận tải hàng hóa</t>
  </si>
  <si>
    <t>Hàng hóa vận chuyển</t>
  </si>
  <si>
    <t>Hàng hóa luân chuyển</t>
  </si>
  <si>
    <t>Trường cao đẳng nghề tỉnh</t>
  </si>
  <si>
    <t>Dạy nghề cho nông dân</t>
  </si>
  <si>
    <t>Số hộ cận nghèo</t>
  </si>
  <si>
    <t>Đá xây dựng</t>
  </si>
  <si>
    <t xml:space="preserve"> T đó. Nữ</t>
  </si>
  <si>
    <t xml:space="preserve">          - Dân số thành thị</t>
  </si>
  <si>
    <t xml:space="preserve"> Số TT</t>
  </si>
  <si>
    <t>Lĩnh vực gia đình</t>
  </si>
  <si>
    <t xml:space="preserve">Tỷ lệ xã phường có ban chỉ đạo mô hình phòng chống bạo lực gia đình </t>
  </si>
  <si>
    <t xml:space="preserve">Tỷ lệ thôn, bản, tổ dân phố có câu lạc bộ gia đình phát triển bền vững </t>
  </si>
  <si>
    <t>Tỷ lệ gia đình được tuyên truyền phổ biến các luật có liên quan đến lĩnh vực gia đình</t>
  </si>
  <si>
    <t>3</t>
  </si>
  <si>
    <t>4</t>
  </si>
  <si>
    <t>Bảo tồn di sản văn hóa</t>
  </si>
  <si>
    <t xml:space="preserve"> Số di tích lịch sử đang xuống cấp được đầu tư tôn tạo</t>
  </si>
  <si>
    <t xml:space="preserve">Số di tích lịch sử được đầu tư tôn tạo đã hoàn thành trong kỳ </t>
  </si>
  <si>
    <t>Số di tích lịch sử mới được kiểm kê, đề nghị  xếp hạng;</t>
  </si>
  <si>
    <t>Số di tích mới  được xếp hạng trong kì</t>
  </si>
  <si>
    <t>Số di tích được xếp hạng đến cuối kỳ báo cáo</t>
  </si>
  <si>
    <t xml:space="preserve"> Số di tích được khoanh vùng cắm mốc </t>
  </si>
  <si>
    <t>Lễ</t>
  </si>
  <si>
    <t>1</t>
  </si>
  <si>
    <t>Lĩnh vực thể thao</t>
  </si>
  <si>
    <t>Số  gia đình dược công nhận danh hiệu gia đình thể thao</t>
  </si>
  <si>
    <t>Gia đình</t>
  </si>
  <si>
    <t>Số câu lạc bộ thể thao cơ sở</t>
  </si>
  <si>
    <t>Lớp</t>
  </si>
  <si>
    <t>2</t>
  </si>
  <si>
    <t xml:space="preserve"> Số vận động viên đẳng cấp kiện tướng </t>
  </si>
  <si>
    <t xml:space="preserve"> Số  vận động viên cấp 1</t>
  </si>
  <si>
    <t>Giải</t>
  </si>
  <si>
    <t>Cuộc</t>
  </si>
  <si>
    <t>6</t>
  </si>
  <si>
    <t>8</t>
  </si>
  <si>
    <t>Tỷ lệ người tham gia luyện tập thường xuyên  ít nhất 01 môn thể thao trong tổng dân số toàn huyện</t>
  </si>
  <si>
    <t xml:space="preserve">Năng xuất </t>
  </si>
  <si>
    <t>Lúa nương</t>
  </si>
  <si>
    <t>- Tổng số lớp</t>
  </si>
  <si>
    <t>1000m3</t>
  </si>
  <si>
    <t>Trong đó: - Tuyển mới</t>
  </si>
  <si>
    <t>- Đào tạo liên thông từ trung cấp lên cao đẳng</t>
  </si>
  <si>
    <t xml:space="preserve"> Hệ Sơ cấp nghề và dạy nghề dưới 3 tháng</t>
  </si>
  <si>
    <t>Cơ quan</t>
  </si>
  <si>
    <t>Tỷ lệ xã, thị trấn có sân thể thao phổ thông</t>
  </si>
  <si>
    <t>Tỷ lệ xã, thị trấn có phòng tập phổ thông</t>
  </si>
  <si>
    <t>Tỷ lệ thôn, bản có sân bóng đá mi ni</t>
  </si>
  <si>
    <t>Tỷ lệ gia đình được công nhận danh hiệu gia đình thể thao trong tổng số hộ gia đình toàn huyện</t>
  </si>
  <si>
    <t>PHÁT TRIỂN DOANH NGHIỆP</t>
  </si>
  <si>
    <t>PHÁT TRIỂN KINH TẾ TẬP THỂ</t>
  </si>
  <si>
    <t>HTX</t>
  </si>
  <si>
    <t>người</t>
  </si>
  <si>
    <t>- Tổng doanh thu hợp tác xã</t>
  </si>
  <si>
    <t>Triệu đồng</t>
  </si>
  <si>
    <t>Trong đó: doanh thu cung ứng cho xã viên</t>
  </si>
  <si>
    <t>- Tổng số lãi trước thuế của hợp tác xã</t>
  </si>
  <si>
    <t xml:space="preserve">              + Số có trình độ Đại học trở lên</t>
  </si>
  <si>
    <t>- Thu nhập bình quân một lao động của HTX</t>
  </si>
  <si>
    <t>PHÁT TRIỂN KINH TẾ TƯ NHÂN</t>
  </si>
  <si>
    <t>Trong đó: Đăng ký mới</t>
  </si>
  <si>
    <t>Gạch xây</t>
  </si>
  <si>
    <t>Tổng số trẻ mầm non</t>
  </si>
  <si>
    <t>Tổng số lớp và nhóm trẻ</t>
  </si>
  <si>
    <t>- Số nhóm trẻ</t>
  </si>
  <si>
    <t>- Số lớp mẫu giáo</t>
  </si>
  <si>
    <t>- Số lớp 5 tuổi</t>
  </si>
  <si>
    <t>Nhóm</t>
  </si>
  <si>
    <t>1.3</t>
  </si>
  <si>
    <t>Các tỷ lệ huy động</t>
  </si>
  <si>
    <t>2.1</t>
  </si>
  <si>
    <t>Tổng số học sinh</t>
  </si>
  <si>
    <t xml:space="preserve">Tổng số lớp </t>
  </si>
  <si>
    <t>Lúa  Đông Xuân</t>
  </si>
  <si>
    <t>Đàn gia cầm</t>
  </si>
  <si>
    <t>Huyện</t>
  </si>
  <si>
    <t>Thôn, bản</t>
  </si>
  <si>
    <t>Số
TT</t>
  </si>
  <si>
    <t>Nông nghiệp</t>
  </si>
  <si>
    <t>Sản xuất cây lương thực</t>
  </si>
  <si>
    <t>Cây ngô</t>
  </si>
  <si>
    <t xml:space="preserve">Cây Đậu tương </t>
  </si>
  <si>
    <t>Cây lúa</t>
  </si>
  <si>
    <t>Tổng sản lượng thủy sản</t>
  </si>
  <si>
    <t>Cây phong trào phân tán</t>
  </si>
  <si>
    <t>Nước máy sản xuất</t>
  </si>
  <si>
    <t>Thương mại</t>
  </si>
  <si>
    <t>Vận tải</t>
  </si>
  <si>
    <t>Lực lượng lao động</t>
  </si>
  <si>
    <t xml:space="preserve">  - Tr. đó: Lực lượng lao động là nữ</t>
  </si>
  <si>
    <t>+ Trong đó: Dạy nghề cho nông dân</t>
  </si>
  <si>
    <t xml:space="preserve"> - Trung cấp nghề (liên kết đào tạo không bố trí kinh phí)</t>
  </si>
  <si>
    <t xml:space="preserve"> Số người lạm dụng ma tuý (có hồ sơ quản lý)</t>
  </si>
  <si>
    <t xml:space="preserve">Trong đó </t>
  </si>
  <si>
    <t>Tỷ lệ hộ cận nghèo</t>
  </si>
  <si>
    <t xml:space="preserve"> Cây</t>
  </si>
  <si>
    <t>* Hệ trung cấp nghề</t>
  </si>
  <si>
    <t>* Hệ cao đẳng nghề:</t>
  </si>
  <si>
    <t>* Sơ cấp nghề và dạy nghề dưới 3 tháng</t>
  </si>
  <si>
    <t>Số xã đạt chuẩn xóa mù chữ mức độ 1</t>
  </si>
  <si>
    <t>Số xã đạt chuẩn xóa mù chữ mức độ 2</t>
  </si>
  <si>
    <t>Bưu chính viễn thông</t>
  </si>
  <si>
    <t>Bưu chính</t>
  </si>
  <si>
    <t>Số xã có điểm bưu điện văn hóa xã</t>
  </si>
  <si>
    <t>Tỷ lệ xã có điểm bưu điện văn hóa xã</t>
  </si>
  <si>
    <t>Số dân phục vụ bình quân</t>
  </si>
  <si>
    <t>Bán kính phục vụ bình quân</t>
  </si>
  <si>
    <t>Km/điểm</t>
  </si>
  <si>
    <t>Viễn Thông</t>
  </si>
  <si>
    <t>Thuê bao</t>
  </si>
  <si>
    <t>Số thuê bao điện thoại trung bình 100 dân</t>
  </si>
  <si>
    <t>Máy</t>
  </si>
  <si>
    <t>Số trạm thu phát sóng thông tin di độngBTS)</t>
  </si>
  <si>
    <t>Internet</t>
  </si>
  <si>
    <t>Số thuê bao internet trung bình 100 dân</t>
  </si>
  <si>
    <t>Tổng số xã, Thị trấn</t>
  </si>
  <si>
    <t>Lĩnh vực văn hóa gia đình</t>
  </si>
  <si>
    <t>Ngô xuân</t>
  </si>
  <si>
    <t>Ngô hè thu</t>
  </si>
  <si>
    <t xml:space="preserve"> Tổng số trẻ em có hoàn cảnh đặc biệt</t>
  </si>
  <si>
    <t>Trẻ em mồ côi được nuôi dưỡng tại Làng trẻ em SOS Điện Biên Phủ</t>
  </si>
  <si>
    <t>Số người được điều trị Methadone</t>
  </si>
  <si>
    <t>Ngộ độc thực phẩm</t>
  </si>
  <si>
    <t xml:space="preserve">Tổng số </t>
  </si>
  <si>
    <t>Tr. đó: - Trường PT DTNT huyện</t>
  </si>
  <si>
    <t>Cây Chè</t>
  </si>
  <si>
    <t>Chăm sóc rừng trồng</t>
  </si>
  <si>
    <t>VII</t>
  </si>
  <si>
    <t xml:space="preserve">Số thuê bao intrnet </t>
  </si>
  <si>
    <t>Thị Trấn</t>
  </si>
  <si>
    <t>Mường 
Báng</t>
  </si>
  <si>
    <t>Sính 
Phình</t>
  </si>
  <si>
    <t>Tủa 
Thàng</t>
  </si>
  <si>
    <t>Trung 
Thu</t>
  </si>
  <si>
    <t>Tả Phìn</t>
  </si>
  <si>
    <t>Lao Sả
 Phình</t>
  </si>
  <si>
    <t>Tả Sìn
 Thàng</t>
  </si>
  <si>
    <t>Sín Chải</t>
  </si>
  <si>
    <t>Huổi Só</t>
  </si>
  <si>
    <t>Cây lương thực khác</t>
  </si>
  <si>
    <t>Sản lượng chè thương phẩm</t>
  </si>
  <si>
    <t>Đàn ngựa</t>
  </si>
  <si>
    <t>Khai hoang phục hóa tạo bậc thang</t>
  </si>
  <si>
    <t>Cây</t>
  </si>
  <si>
    <t>-</t>
  </si>
  <si>
    <t>Khoanh nuôi tái sinh năm đầu</t>
  </si>
  <si>
    <t>Khoanh nuôi tái sinh chuyển tiếp</t>
  </si>
  <si>
    <t>Trong đó: - Sản lượng thóc</t>
  </si>
  <si>
    <t>Sản lượng thóc ruộng</t>
  </si>
  <si>
    <t>Cơ cấu thóc ruộng trong tổng sản lượng</t>
  </si>
  <si>
    <t>Tổng diện tích cây lương thực có hạt</t>
  </si>
  <si>
    <t>Tổng sản lượng lương thực có hạt</t>
  </si>
  <si>
    <t>Sản Lượng</t>
  </si>
  <si>
    <t xml:space="preserve">Năng suất </t>
  </si>
  <si>
    <t xml:space="preserve"> Rừng phòng hộ</t>
  </si>
  <si>
    <t xml:space="preserve"> Rừng thay thế</t>
  </si>
  <si>
    <t xml:space="preserve"> Rừng sản xuất (nguồn vốn chương trình 30 a và các nguồn vốn khác)</t>
  </si>
  <si>
    <t xml:space="preserve">Trồng rừng tập trung </t>
  </si>
  <si>
    <t>Cây phong trào</t>
  </si>
  <si>
    <t>Cây phân tán</t>
  </si>
  <si>
    <t>Triệu viên</t>
  </si>
  <si>
    <t>Triệu m3</t>
  </si>
  <si>
    <t>Nghìn Người</t>
  </si>
  <si>
    <t>Nghìn tấn</t>
  </si>
  <si>
    <t>Nghìn tấn.km</t>
  </si>
  <si>
    <t>- Tỷ lệ  xã, thị trấn đạt tiêu chuẩn phù hợp với trẻ em</t>
  </si>
  <si>
    <t>Số trẻ em không nơi nương tựa được nhận nuôi dưỡng tại cộng đồng</t>
  </si>
  <si>
    <t>Số vụ bạo hành trẻ em được phát hiện</t>
  </si>
  <si>
    <t>Vụ</t>
  </si>
  <si>
    <t>Số vụ bạo hành trẻ em được xử lý</t>
  </si>
  <si>
    <t>Số cán bộ làm công tác bảo vệ trẻ em/cán bộ công tác xã hội các cấp tham gia quản lý trường hợp</t>
  </si>
  <si>
    <t>III.1</t>
  </si>
  <si>
    <t>Số hộ tái nghèo, phát sinh nghèo</t>
  </si>
  <si>
    <t>Tỷ lệ hộ nghèo dân tộc thiểu số</t>
  </si>
  <si>
    <t>III.2</t>
  </si>
  <si>
    <t>III.3</t>
  </si>
  <si>
    <t xml:space="preserve"> Bảo hiểm xã hội</t>
  </si>
  <si>
    <t>Đối tượng thuộc diện tham gia BHXH bắt buộc</t>
  </si>
  <si>
    <t>Số người tham gia BHXH bắt buộc</t>
  </si>
  <si>
    <t xml:space="preserve"> - Tỷ lệ tham gia BHXH bắt buộc</t>
  </si>
  <si>
    <t xml:space="preserve"> - Tốc độ phát triển số người tham gia BHXH bắt buộc</t>
  </si>
  <si>
    <t>Đối tượng thuộc diện tham gia BHXH thất nghiệp</t>
  </si>
  <si>
    <t>Số người tham gia BHXH thất nghiệp</t>
  </si>
  <si>
    <t>- Tỷ lệ tham gia BHXH thất nghiệp</t>
  </si>
  <si>
    <t>- Tốc độ phát triển số người tham gia BHXH thất nghiệp</t>
  </si>
  <si>
    <t>Đối tượng thuộc diện tham gia BHXH tự nguyện</t>
  </si>
  <si>
    <t xml:space="preserve"> Số người tham gia BHXH tự nguyện</t>
  </si>
  <si>
    <t>- Tỷ lệ tham gia BHXH tự nguyện</t>
  </si>
  <si>
    <t>- Tốc độ phát triển số người tham gia BHXH tự nguyện</t>
  </si>
  <si>
    <t>Trung tâm Giáo dục nghề nghiệp - Giáo dục thường xuyên huyện</t>
  </si>
  <si>
    <t>Phát triển trẻ thơ</t>
  </si>
  <si>
    <t>Số cán bộ quản lý, giáo viên, nhân viên mầm non được tập huấn về tư vấn dinh dưỡng và tâm lý cho trẻ</t>
  </si>
  <si>
    <t>Số nhân viên nấu ăn có chứng chỉ nghề nấu ăn</t>
  </si>
  <si>
    <t>Số điểm trường mầm non có nhà vệ sinh hợp vệ sinh</t>
  </si>
  <si>
    <t>Điểm trường</t>
  </si>
  <si>
    <t>Số điểm trường mầm non có nguồn nước sử dụng hợp vệ sinh</t>
  </si>
  <si>
    <t>Số nhóm/lớp mầm non có đủ thiết bị, đồ dùng, đồ chơi tối thiểu theo quy định</t>
  </si>
  <si>
    <t>Số điểm trường mầm non có 05 loại đồ chơi ngoài trời trở lên trong danh mục quy định</t>
  </si>
  <si>
    <t>Các chỉ tiêu phát triển thiên niên kỷ đối với đồng bào dân tộc thiểu số</t>
  </si>
  <si>
    <t>Tỷ lệ trẻ em DTTS nhập học đúng độ tuổi bậc tiểu học (%)</t>
  </si>
  <si>
    <t>Tỷ lệ người DTTS hoàn thành chương trình  tiểu học (%)</t>
  </si>
  <si>
    <t>Tỷ lệ người DTTS biết chữ  trong độ tuổi từ 15 tuổi đến 60 tuổi (%)</t>
  </si>
  <si>
    <t>Tỷ lệ nữ người DTTS biết chữ trong độ tuổi từ 15 đến 60 tuổi (%)</t>
  </si>
  <si>
    <t>Tỷ lệ học sinh nữ DTTS ở cấp tiểu học, trung học cơ sở, trung học phổ thông (%)</t>
  </si>
  <si>
    <t xml:space="preserve"> Tỷ số tử vong mẹ/100.000 trẻ đẻ sống</t>
  </si>
  <si>
    <t>Bà mẹ</t>
  </si>
  <si>
    <t xml:space="preserve"> Tỷ lệ trẻ nhỏ được bú mẹ hoàn toàn trong 6 tháng đầu</t>
  </si>
  <si>
    <t>Tỷ lệ Bướu cổ trẻ em từ 8 - 10 tuổi</t>
  </si>
  <si>
    <t>Tỷ lệ hộ gia đình sử dụng nhà tiêu vệ sinh hợp vệ sinh</t>
  </si>
  <si>
    <t xml:space="preserve"> Tỷ lệ mắc một số bệnh xã hội/dân số:</t>
  </si>
  <si>
    <t>1/1.000</t>
  </si>
  <si>
    <t xml:space="preserve">Tỷ lệ người DTTS mắc sốt rét/1000 dân DTTS </t>
  </si>
  <si>
    <t xml:space="preserve">Tỷ lệ nhiễm HIV ở nhóm dân số DTTS 15-24 tuổi </t>
  </si>
  <si>
    <t>Tai nạn thương tích</t>
  </si>
  <si>
    <t>Trạm y tế xã, thị trấn</t>
  </si>
  <si>
    <t>Tỷ lệ xã, thị trấn có trạm y tế</t>
  </si>
  <si>
    <t xml:space="preserve">Tổng số giường bệnh toàn huyện </t>
  </si>
  <si>
    <t>Trong đó: Giường Quốc lập</t>
  </si>
  <si>
    <t>Tỷ lệ giường bệnh Quốc lập/vạn dân</t>
  </si>
  <si>
    <t>Tỷ lệ Bác sỹ/vạn dân</t>
  </si>
  <si>
    <t>Tỷ lệ Dược sỹ đại học/vạn dân</t>
  </si>
  <si>
    <t>Tỷ lệ trạm y tế xã có bác sỹ hoạt động</t>
  </si>
  <si>
    <t>Bộ tiêu chí quố gia về Y tế xã</t>
  </si>
  <si>
    <t xml:space="preserve"> - Tỷ lệ dân số tăng tự nhiên</t>
  </si>
  <si>
    <t xml:space="preserve"> - Mức giảm tỷ lệ sinh</t>
  </si>
  <si>
    <t>- Tỷ số giới tính khi sinh</t>
  </si>
  <si>
    <t>Số bé 
trai/100 bé gái</t>
  </si>
  <si>
    <t>Số người dân tham gia Bảo hiểm Y tế</t>
  </si>
  <si>
    <t>Tỷ lệ người dân tham gia Bảo hiểm Y tế</t>
  </si>
  <si>
    <t>VIII</t>
  </si>
  <si>
    <t>Phòng chống HIV/ADS</t>
  </si>
  <si>
    <t>Tỷ lệ người nhiễm HIV có nhu cầu điều trị bằng thuốc ARV tiếp cận được thuốc ARV</t>
  </si>
  <si>
    <t xml:space="preserve">Giảm tỷ lệ nhiễm HIV của trẻ em sinh ra từ mẹ nhiễm HIV </t>
  </si>
  <si>
    <t>Số người người nghiện các chất dạng thuốc phiện được điều trị thay thế bằng thuốc Methadone</t>
  </si>
  <si>
    <t>IX</t>
  </si>
  <si>
    <t>Phát triển trẻ thơ toàn diện từ năm 2019</t>
  </si>
  <si>
    <t>Tỷ lệ trẻ 18 tháng tuổi tiêm sởi - rubella</t>
  </si>
  <si>
    <t>Tỷ lệ trẻ 18 tháng tuổi tiêm DPT mũi 4</t>
  </si>
  <si>
    <t>Tỷ lệ trẻ 1 - 5 tuổi tiêm viêm não 2 mũi cơ bản</t>
  </si>
  <si>
    <t>Tỷ lệ trẻ 2 - 5 tuổi tiêm viêm não mũi 3</t>
  </si>
  <si>
    <t>Tỷ lệ trẻ em &lt; 6 tuổi bị khuyết tật tại cộng đồng được phát hiện, can thiệp sớm</t>
  </si>
  <si>
    <t>Tỷ lệ phụ nữ đẻ tại cơ sở y tế</t>
  </si>
  <si>
    <t>Tỷ lệ bà mẹ và trẻ sơ sinh được nhân viên y tế chăm sóc tuần đầu sau sinh</t>
  </si>
  <si>
    <t>Trung tâm y tế  huyện</t>
  </si>
  <si>
    <t>Trung tâm</t>
  </si>
  <si>
    <t>Phòng khám</t>
  </si>
  <si>
    <t>Số trung tâm VH-TT cấp huyện</t>
  </si>
  <si>
    <t>Phát triển thiết chế văn hóa, thể thao cơ sở</t>
  </si>
  <si>
    <t>Số sân thể thao phổ thông cấp xã, thị trấn</t>
  </si>
  <si>
    <t>Số phòng tập phổ thông cấp xã</t>
  </si>
  <si>
    <t>Sân bóng đá mi ni tại thôn bản, tổ dân phố</t>
  </si>
  <si>
    <t xml:space="preserve"> Số lượt khách đến tham quan bảo tàng và các điểm di tích</t>
  </si>
  <si>
    <t>Lượt người</t>
  </si>
  <si>
    <t xml:space="preserve"> Trong đó, lượt khách quốc tế</t>
  </si>
  <si>
    <t>Số thuê bao điện thoại cố định</t>
  </si>
  <si>
    <t>Số thuê bao điện thoại di động</t>
  </si>
  <si>
    <t>Phát thanh, truyền hình, công nghệ thông tin</t>
  </si>
  <si>
    <t>Phát thanh</t>
  </si>
  <si>
    <t>Số giờ phát, tiếp sóng phát thanh địa phương</t>
  </si>
  <si>
    <t>Số Đài Truyền thanh không dây</t>
  </si>
  <si>
    <t>Số xã, thị trấn có Đài truyền thanh không dây</t>
  </si>
  <si>
    <t>Tỷ lệ xã,thị trấn có Đài truyền thanh không dây</t>
  </si>
  <si>
    <t>Số hộ nghe được Đài Tiếng nói Việt Nam</t>
  </si>
  <si>
    <t>Tỷ lệ hộ nghe được Đài Tiếng nói Việt Nam</t>
  </si>
  <si>
    <t>Số xã, thị trấn được phủ sóng truyền thanh địa phương</t>
  </si>
  <si>
    <t>Tỷ lệ xã, phường được phủ sóng truyền thanh địa phương</t>
  </si>
  <si>
    <t>Số hộ nghe được Đài phát thanh địa phương</t>
  </si>
  <si>
    <t>Tỷ lệ hộ nghe được đài phát thanh địa phương</t>
  </si>
  <si>
    <t xml:space="preserve"> Truyền hình </t>
  </si>
  <si>
    <t>Số hộ xem được Đài Truyền hình Việt Nam</t>
  </si>
  <si>
    <t>Tỷ lệ hộ xem được Đài Truyền hình Việt Nam</t>
  </si>
  <si>
    <t>Số xã, phường được phủ sóng truyền hình tỉnh</t>
  </si>
  <si>
    <t>Tỷ lệ xã, phường được phủ sóng truyền hình tỉnh</t>
  </si>
  <si>
    <t>Số hộ xem được đài truyền hình địa phương</t>
  </si>
  <si>
    <t>Tỷ lệ hộ xem được đài truyền hình địa phương</t>
  </si>
  <si>
    <t>Công nghệ thông tin</t>
  </si>
  <si>
    <t>Tổng số máy tính tại cơ quan, đơn vị (máy chủ, trạm, xách tay)</t>
  </si>
  <si>
    <t>Máy chủ</t>
  </si>
  <si>
    <t>Máy trạm</t>
  </si>
  <si>
    <t>Tỷ lệ cán bộ, công chức tại các cơ quan chuyên môn được trang bị máy tính</t>
  </si>
  <si>
    <t>- Cấp huyện</t>
  </si>
  <si>
    <t>- Cấp xã</t>
  </si>
  <si>
    <t>Tỷ lệ máy tính có kết nối Internet</t>
  </si>
  <si>
    <t>Tỷ lệ cán bộ, công chức được cấp và thường xuyên sử dụng phần mềm quản lý văn bản và điều hành</t>
  </si>
  <si>
    <t>Tỷ lệ cán bộ, công chức thường xuyên sử dụng thư điện tử trong công việc</t>
  </si>
  <si>
    <t>Số dịch vụ công trực tuyến được cung cấp</t>
  </si>
  <si>
    <t>Tỷ lệ dịch vụ công trực tuyến so với tổng số dịch vụ công</t>
  </si>
  <si>
    <t>Giờ/năm</t>
  </si>
  <si>
    <t>Đài</t>
  </si>
  <si>
    <t>Máy</t>
  </si>
  <si>
    <t>DVC trực tuyến</t>
  </si>
  <si>
    <t>Chi nhánh</t>
  </si>
  <si>
    <t>Số chi nhánh doanh nghiệp đang hoạt động</t>
  </si>
  <si>
    <t>Số doanh nghiệp tư nhân đang hoạt động</t>
  </si>
  <si>
    <t>Tổng số hợp tác xã</t>
  </si>
  <si>
    <t>Thành lập mới</t>
  </si>
  <si>
    <t>Tổng số xã viên hợp tác xã</t>
  </si>
  <si>
    <t>Xã viên mới</t>
  </si>
  <si>
    <t>Tổng số cán bộ quản lý hợp tác xã</t>
  </si>
  <si>
    <t>Tổng số lao động là xã viên HTX</t>
  </si>
  <si>
    <t>Số có trình độ trung cấp, cao đẳng</t>
  </si>
  <si>
    <t>Tổng số lao động làm việc trong HTX</t>
  </si>
  <si>
    <t>Nghìn người.km</t>
  </si>
  <si>
    <t xml:space="preserve"> Tỷ lệ phụ nữ  đẻ được khám thai đủ 3 lần/3 kỳ thai nghén</t>
  </si>
  <si>
    <t xml:space="preserve">Tỷ lệ phụ nữ dân tộc thiểu số được khám thai ít nhất 3 lần trong kỳ mang thai </t>
  </si>
  <si>
    <t xml:space="preserve"> Tỷ lệ phụ nữ có thai được tiêm phòng UV2+</t>
  </si>
  <si>
    <t>Mường 
Đun</t>
  </si>
  <si>
    <t>Mường Báng</t>
  </si>
  <si>
    <t>MườngĐun</t>
  </si>
  <si>
    <t>Tủa
Thàng</t>
  </si>
  <si>
    <t>Sính Phình</t>
  </si>
  <si>
    <t>Trung Thu</t>
  </si>
  <si>
    <t>Lao Sả Phình</t>
  </si>
  <si>
    <t>Tả Sìn Thàng</t>
  </si>
  <si>
    <t>Tạ/ha</t>
  </si>
  <si>
    <t>Cây công nghiệp dài ngày</t>
  </si>
  <si>
    <t>Sản lượng 1 số sản phẩm công nghiệp  chủ yếu</t>
  </si>
  <si>
    <t>Tổng mức bán lẻ hàng hóa và dịch vụ  giá hiện hành</t>
  </si>
  <si>
    <t>Giá trị sản xuấ công nghiệp ( giá so sánh)</t>
  </si>
  <si>
    <t xml:space="preserve"> Lao động</t>
  </si>
  <si>
    <t xml:space="preserve"> Tổng số người trong độ tuổi  lao động</t>
  </si>
  <si>
    <t xml:space="preserve"> Lao động đang làm việc trong các ngành kinh tế quốc doanh</t>
  </si>
  <si>
    <t xml:space="preserve">  Tỷ lệ so với lực lượng lao động</t>
  </si>
  <si>
    <t xml:space="preserve">  Tỷ lệ so với lao động đang làm việc trong các ngành kinh tế quốc doanh</t>
  </si>
  <si>
    <t xml:space="preserve">  Số xã, thị trấn đạt tiêu chuẩn phù hợp với trẻ em</t>
  </si>
  <si>
    <t>Xã,
 thị trấn</t>
  </si>
  <si>
    <t xml:space="preserve"> Tổng số trẻ em có hoàn cảnhđặc biệt khó khăn được hưởng trợ cấp tại cộng đồng</t>
  </si>
  <si>
    <t xml:space="preserve"> Trẻ em mồ côi được nuôi dưỡng tại Trung tâm Bảo trợ xã hội tỉnh</t>
  </si>
  <si>
    <t>Đối tượng</t>
  </si>
  <si>
    <t xml:space="preserve"> Học viên</t>
  </si>
  <si>
    <t>Học viên</t>
  </si>
  <si>
    <t xml:space="preserve"> Tr. đó: Dạy nghề cho nông dân và người dân tộc thiểu số</t>
  </si>
  <si>
    <t>Tả
 Phìn</t>
  </si>
  <si>
    <t>Sín 
Chải</t>
  </si>
  <si>
    <t>Huổi 
Só</t>
  </si>
  <si>
    <t>Thị 
Trấn</t>
  </si>
  <si>
    <t>Mường
Báng</t>
  </si>
  <si>
    <t>Xá 
Nhè</t>
  </si>
  <si>
    <t>Mường
Đun</t>
  </si>
  <si>
    <t>Học sinh</t>
  </si>
  <si>
    <t xml:space="preserve">Tỷ suất tử vong trẻ em dân tộc thiểu số dưới 1 tuổi trên 1000 trẻ dân tộc thiểu số đẻ sống </t>
  </si>
  <si>
    <t>Tỷ suất tử vong trẻ em dưới 5 tuổi</t>
  </si>
  <si>
    <t xml:space="preserve">Tỷ suất tử vong trẻ em dân tộc thiểu số dưới 5 tuổi trên 1000 trẻ dân tộc thiểu số đẻ sống </t>
  </si>
  <si>
    <t>Tỷ lệ hộ gia đình dân tộc thiểu số sử dụng nhà tiêu vệ sinh hợp vệ sinh</t>
  </si>
  <si>
    <t>Tỷ lệ người dân tộc thiểu số mắc lao/100.000 dân dân tộc thiểu số</t>
  </si>
  <si>
    <t>Trung tâm Dân số - KHHGĐ huyện</t>
  </si>
  <si>
    <t>Số hộ đăng ký đạt tiêu chuẩn gia đình văn hóa</t>
  </si>
  <si>
    <t>Số hộ đạt tiêu chuẩn gia đình văn hóa</t>
  </si>
  <si>
    <t xml:space="preserve"> Tỷ lệ gia đình đạt văn hóa chiếm trong tổng số gia đình toàn huyện</t>
  </si>
  <si>
    <t>Số thôn, bản đăng ký đạt tiêu chuẩn văn hóa</t>
  </si>
  <si>
    <t>Số thôn, bản đạt tiêu chuẩn văn hóa</t>
  </si>
  <si>
    <t>Tỷ lệ  thôn, bản,  đạt văn hóa chiếm trong tổng số thôn, bản  toàn huyện</t>
  </si>
  <si>
    <t>Cơ quan, đơn vị, trường học đăng ký đạt tiêu chuẩn văn hóa</t>
  </si>
  <si>
    <t>Cơ quan, đơn vị, doanh nghiệp đạt tiêu chuẩn văn hóa</t>
  </si>
  <si>
    <t xml:space="preserve"> Tỷ lệ cơ quan , đơn vị doanh nghiệp, trường học đạt văn hóa chiếm trong tổng số cơ quan, đơn vị, trường học  toàn huyện</t>
  </si>
  <si>
    <t>Số xã đăng ký đạt tiêu chuẩn văn hóa nông thôn mới</t>
  </si>
  <si>
    <t>Số xã  đạt chuẩn văn hóa nông thôn mới</t>
  </si>
  <si>
    <t>Tỷ lệ xã  đạt chuẩn văn hóa nông thôn mới</t>
  </si>
  <si>
    <t xml:space="preserve">Số ban chỉ đạo mô hình phòng chống bạo lực gia đình được thành lập tại xã phường, thị trấn </t>
  </si>
  <si>
    <t>Số xã, thị trấn đạt chuẩn văn minh đô thị</t>
  </si>
  <si>
    <t>Xã, thị trấn</t>
  </si>
  <si>
    <t>Ban chỉ đạo</t>
  </si>
  <si>
    <t xml:space="preserve">Số  câu lạc bộ gia đình phát triển bền vững tại các thôn, bản,tổ dân phố </t>
  </si>
  <si>
    <t>Câu lạc bộ</t>
  </si>
  <si>
    <t>Số xã, thị trấn có nhà văn hóa thông tin</t>
  </si>
  <si>
    <t>Tỷ lệ xã, thị trấn có nhà văn hóa thông tin</t>
  </si>
  <si>
    <t>Số thôn bản, tổ dân phố có nhà văn hóa thông tin</t>
  </si>
  <si>
    <t>Tỷ lệ thôn bản có nhà văn hóa thông tin</t>
  </si>
  <si>
    <t>Câu 
lạc bộ</t>
  </si>
  <si>
    <t>Vận động viên</t>
  </si>
  <si>
    <t xml:space="preserve"> Huyện có nhà văn hóa, thể thao, thư viện </t>
  </si>
  <si>
    <t>Tham gia giải thi đấu thể dục thể thao thành tích cao</t>
  </si>
  <si>
    <t>Người/điểm</t>
  </si>
  <si>
    <t>Số xã, thị trấn có  trạm thu phát sóng thông tin di động 3G</t>
  </si>
  <si>
    <t>Số xã, thị trấn được kết nối in tenet băng rộng</t>
  </si>
  <si>
    <t>Tỷ lệ xã, thị trấn được kết nối in tenet băng rộng</t>
  </si>
  <si>
    <t>Tổng số giờ tiếp, phát sóng phát thanh trung ương</t>
  </si>
  <si>
    <t>Số giờ tiếp, phát sóng truyền hình Trung ương</t>
  </si>
  <si>
    <t>Kế hoạch giao</t>
  </si>
  <si>
    <t xml:space="preserve">
TT</t>
  </si>
  <si>
    <t>Huổi
 Só</t>
  </si>
  <si>
    <t>Năm 2020</t>
  </si>
  <si>
    <t xml:space="preserve">Khoanh nuôi tái sinh </t>
  </si>
  <si>
    <t xml:space="preserve"> CÁC VẤN ĐỀ XÃ HỘI VÀ ĐÀO TẠO NGHỀ - NĂM 2021</t>
  </si>
  <si>
    <t xml:space="preserve"> Tr. đó: - Số lao động được tạo việc làm từ quỹ quốc gia hỗ trợ việc làm</t>
  </si>
  <si>
    <t xml:space="preserve">  - Tạo việc làm từ xuất khẩu lao động</t>
  </si>
  <si>
    <t>CHỈ TIÊU VỀ PHÁT TRIỂN SỰ NGHIỆP GIÁO DỤC - NĂM HỌC 2021-2022</t>
  </si>
  <si>
    <t xml:space="preserve">Tr đó: học sinh trường dân tộ nội trú huyện </t>
  </si>
  <si>
    <t>Số xã đạt chuẩn phổ cập giáo dục mầm non cho trẻ 5 tuổi</t>
  </si>
  <si>
    <t>Số xã đạt chuẩn phổ cập giáo dục tiểu học mức độ 1</t>
  </si>
  <si>
    <t>Số xã đạt chuẩn phổ cập giáo dục tiểu học mức độ 2</t>
  </si>
  <si>
    <t>Số xã đạt chuẩn phổ cập giáo dụctiểu học mức độ 3</t>
  </si>
  <si>
    <t>Số xã đạt chuẩn phổ cập giáo dục THCS mức độ 1</t>
  </si>
  <si>
    <t>Số xã đạt chuẩn phổ cập giáo dục THCS mức độ 2</t>
  </si>
  <si>
    <t>Số xã đạt chuẩn phổ cập giáo dục THCS mức độ 3</t>
  </si>
  <si>
    <t xml:space="preserve">                   CHỈ TIÊU VỀ PHÁT TRIỂN SỰ NGHIỆP Y TẾ - NĂM 2021</t>
  </si>
  <si>
    <t>Tỷ số tử vong người mẹ dân tộc thiểu số/100.000 trẻ người dân tộc thiểu số đẻ sống</t>
  </si>
  <si>
    <t>Tỷ lệ trẻ em dưới 5 tuổi suy dinh dưỡng (cân nặng/tuổi)</t>
  </si>
  <si>
    <t xml:space="preserve">Tỷ lệ suy dinh dưỡng cân nặng/tuổi ở trẻ em dân tộc thiểu số dưới 5 tuổi </t>
  </si>
  <si>
    <t>Tỷ lệ trẻ em dưới 5 tuổi suy dinh dưỡng thể thấp còi (chiều cao theo tuổi)</t>
  </si>
  <si>
    <t>Tỷ lệ lao các thể mới được phát hiện trong năm</t>
  </si>
  <si>
    <t>Thôn bản</t>
  </si>
  <si>
    <t xml:space="preserve"> Số thôn bản toàn huyện</t>
  </si>
  <si>
    <t>5</t>
  </si>
  <si>
    <t>7</t>
  </si>
  <si>
    <t>9</t>
  </si>
  <si>
    <t>10</t>
  </si>
  <si>
    <t>Số trung tâm văn hóa - thông tin cấp huyện</t>
  </si>
  <si>
    <t xml:space="preserve"> Trong đó: Tham gia hội thi</t>
  </si>
  <si>
    <t xml:space="preserve">Số vận động viên được đào tạo </t>
  </si>
  <si>
    <r>
      <t xml:space="preserve">             </t>
    </r>
    <r>
      <rPr>
        <i/>
        <sz val="12"/>
        <rFont val="Times New Roman"/>
        <family val="1"/>
      </rPr>
      <t xml:space="preserve"> - Tuyến bán tập trung</t>
    </r>
  </si>
  <si>
    <t>CHỈ TIÊU VỀ PHÁT TRIỂN SỰ NGHIỆP PHÁT THANH TRUYỀN HÌNH - NĂM 2021</t>
  </si>
  <si>
    <t>CÁC CHỈ TIÊU PHÁT TRIỂN DOANH NGHIỆP VÀ KINH TẾ TẬP THỂ NĂM 2021</t>
  </si>
  <si>
    <t>Tổng số hộ đăng ký kinh doanh</t>
  </si>
  <si>
    <t>Tổng số vốn ĐKKD</t>
  </si>
  <si>
    <t>Bảo vệ rừng</t>
  </si>
  <si>
    <t>Lao Xả
 Phình</t>
  </si>
  <si>
    <t xml:space="preserve"> - Tổng số trường đạt chuẩn Quốc gia</t>
  </si>
  <si>
    <t>Phong trào toàn dân đoàn kết xây dựng đời sống văn hóa</t>
  </si>
  <si>
    <t>Số lễ hội của các dân tộc thiểu số được nghiên cứu, bảo tồn</t>
  </si>
  <si>
    <t>Số  người tham gia luyện tập thường xuyên  ít nhất 01 môn thể thao</t>
  </si>
  <si>
    <t xml:space="preserve">  Số lao động được tạo việc làm mới trong năm</t>
  </si>
  <si>
    <t>Tỷ suất tử vong trẻ em dưới 1 tuổi</t>
  </si>
  <si>
    <t>Tỷ lệ trẻ em dưới 1 tuổi tiêm chủng đầy đủ các loại Vắc xin</t>
  </si>
  <si>
    <t xml:space="preserve">Tỷ lệ các ca sinh của phụ nữ dân tộc thiểu số được cán bộ y tế đã qua đào tạo đỡ </t>
  </si>
  <si>
    <t>114</t>
  </si>
  <si>
    <t xml:space="preserve">  Tr. đó: - Tỷ lệ lao động được đào tạo so với lực lượng lao động</t>
  </si>
  <si>
    <t>- Tỷ lệ huy động trẻ: Từ 03-36 tháng tuổi</t>
  </si>
  <si>
    <t>- Tỷ lệ học sinh 6-10 tuổi học tiểu học</t>
  </si>
  <si>
    <t>Giường bệnh phòng khám đa khoa khu vực</t>
  </si>
  <si>
    <t>Giường bệnh Trung tâm y tế huyện</t>
  </si>
  <si>
    <t>Xã đạt tiêu chí Quốc gia về y tế xã  2011-2020</t>
  </si>
  <si>
    <t>Tỷ lệ xã đạt tiêu chí Quốc gia về y tế   xã</t>
  </si>
  <si>
    <t xml:space="preserve"> - Tỷ lệ phụ nữ 15 - 49 tuổi có chồng</t>
  </si>
  <si>
    <t>Tỷ lệ xã có nữ hộ sinh hoặc y sỹ sản nhi</t>
  </si>
  <si>
    <t xml:space="preserve"> Tỷ lệ phụ nữ có thai được tư vấn và kiểm tra HIV</t>
  </si>
  <si>
    <t xml:space="preserve"> Tỷ lệ phụ nữ co thai nhiễm HIV nhận được thuốc  ARV/số phụ nữ mang thai nhiễm HIV toàn huyện</t>
  </si>
  <si>
    <t>Doanh 
nghiệp</t>
  </si>
  <si>
    <t xml:space="preserve"> TH năm 2020</t>
  </si>
  <si>
    <t>Chỉ tiêu kế hoạch năm 2021</t>
  </si>
  <si>
    <t>Biểu 01B</t>
  </si>
  <si>
    <t xml:space="preserve"> Thực hiện năm 2020</t>
  </si>
  <si>
    <t>Biểu 03B</t>
  </si>
  <si>
    <t>Thực hiện 2020 (năm học 2020-2021)</t>
  </si>
  <si>
    <t>Chỉ tiêu kế hoạch năm 2021 (năm học 2021-2022)</t>
  </si>
  <si>
    <t>Thực hiện 2020</t>
  </si>
  <si>
    <t>Thực hiện năm 2020</t>
  </si>
  <si>
    <t>Biểu 02B</t>
  </si>
  <si>
    <t xml:space="preserve">So sánh  với thực hiện
 năm 2020 </t>
  </si>
  <si>
    <t xml:space="preserve">So sánh với thực hiện
 năm 2020 </t>
  </si>
  <si>
    <t>(Kèm theo Báo cáo số:   /BC-UBND ngày     / 11/2020 của UBND huyện Tủa Chùa)</t>
  </si>
  <si>
    <t xml:space="preserve"> CHỈ TIÊU SẢN XUẤT CÔNG NGHIỆP NĂM 2021</t>
  </si>
  <si>
    <t xml:space="preserve"> MỘT SỐ CHỈ TIÊU KINH TẾ CHỦ YẾU NĂM 2021</t>
  </si>
  <si>
    <t>(Kèm theo Báo cáo số:   /BC-UBND ngày     /11/2020 của UBND huyện Tủa Chùa)</t>
  </si>
  <si>
    <t>Biểu 04B</t>
  </si>
  <si>
    <t xml:space="preserve"> Biểu 05B</t>
  </si>
  <si>
    <t>Biểu 6B:                                                    CHỈ TIÊU PHÁT TRIỂN SỰ NGHIỆP VĂN HOÁ - DU LỊCH - THỂ THAO NĂM 2021</t>
  </si>
  <si>
    <t xml:space="preserve">So sánh với thực hiện năm 2020 </t>
  </si>
  <si>
    <t>Biểu số 8B</t>
  </si>
  <si>
    <t>Biểu 07B</t>
  </si>
  <si>
    <t xml:space="preserve">So sánh  với thực hiện năm 2020 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</si>
</sst>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.0"/>
    <numFmt numFmtId="173" formatCode="_(* #,##0_);_(* \(#,##0\);_(* &quot;-&quot;??_);_(@_)"/>
    <numFmt numFmtId="174" formatCode="_(* #,##0.0_);_(* \(#,##0.0\);_(* &quot;-&quot;??_);_(@_)"/>
    <numFmt numFmtId="175" formatCode="0.0"/>
    <numFmt numFmtId="176" formatCode="_(* #,##0.0000_);_(* \(#,##0.0000\);_(* &quot;-&quot;??_);_(@_)"/>
    <numFmt numFmtId="177" formatCode="_(* #,##0.000_);_(* \(#,##0.000\);_(* &quot;-&quot;??_);_(@_)"/>
    <numFmt numFmtId="178" formatCode="_(* #,##0.0_);_(* \(#,##0.0\);_(* &quot;-&quot;?_);_(@_)"/>
    <numFmt numFmtId="179" formatCode="_(* #,##0_);_(* \(#,##0\);_(* &quot;-&quot;?_);_(@_)"/>
    <numFmt numFmtId="180" formatCode="0.000000"/>
    <numFmt numFmtId="181" formatCode="0.00000"/>
    <numFmt numFmtId="182" formatCode="0.0000"/>
    <numFmt numFmtId="183" formatCode="0.000"/>
    <numFmt numFmtId="184" formatCode="#,##0.0;[Red]#,##0.0"/>
    <numFmt numFmtId="185" formatCode="#,##0;[Red]#,##0"/>
    <numFmt numFmtId="186" formatCode="_-* #,##0.0\ _₫_-;\-* #,##0.0\ _₫_-;_-* &quot;-&quot;?\ _₫_-;_-@_-"/>
    <numFmt numFmtId="187" formatCode="0.00000000"/>
    <numFmt numFmtId="188" formatCode="0.0000000"/>
    <numFmt numFmtId="189" formatCode="_(* #,##0.00_);_(* \(#,##0.00\);_(* &quot;-&quot;?_);_(@_)"/>
    <numFmt numFmtId="190" formatCode="#,##0.000"/>
    <numFmt numFmtId="191" formatCode="#,##0.0000"/>
    <numFmt numFmtId="192" formatCode="#,##0.00000"/>
    <numFmt numFmtId="193" formatCode="#,##0.000000"/>
  </numFmts>
  <fonts count="96">
    <font>
      <sz val="10"/>
      <name val="Arial"/>
      <family val="0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1.5"/>
      <name val="Times New Roman"/>
      <family val="1"/>
    </font>
    <font>
      <sz val="11.5"/>
      <name val="Times New Roman"/>
      <family val="1"/>
    </font>
    <font>
      <i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i/>
      <sz val="11.5"/>
      <name val="Times New Roman"/>
      <family val="1"/>
    </font>
    <font>
      <sz val="12"/>
      <name val=".VnTime"/>
      <family val="2"/>
    </font>
    <font>
      <sz val="11.5"/>
      <color indexed="10"/>
      <name val=".VnTime"/>
      <family val="2"/>
    </font>
    <font>
      <sz val="11.5"/>
      <name val=".VnTime"/>
      <family val="2"/>
    </font>
    <font>
      <i/>
      <sz val="11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1.5"/>
      <name val="Times New Roman"/>
      <family val="1"/>
    </font>
    <font>
      <sz val="13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b/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3"/>
      <name val="Times New Roman"/>
      <family val="1"/>
    </font>
    <font>
      <b/>
      <sz val="8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b/>
      <sz val="14"/>
      <name val="Times New Roman"/>
      <family val="1"/>
    </font>
    <font>
      <b/>
      <sz val="12"/>
      <name val="Arial"/>
      <family val="2"/>
    </font>
    <font>
      <sz val="9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Times New Roman"/>
      <family val="1"/>
    </font>
    <font>
      <i/>
      <sz val="9"/>
      <name val="Arial"/>
      <family val="2"/>
    </font>
    <font>
      <b/>
      <i/>
      <sz val="9"/>
      <name val="Arial"/>
      <family val="2"/>
    </font>
    <font>
      <b/>
      <sz val="10"/>
      <color indexed="10"/>
      <name val="Times New Roman"/>
      <family val="1"/>
    </font>
    <font>
      <sz val="10"/>
      <name val="MS Sans Serif"/>
      <family val="2"/>
    </font>
    <font>
      <sz val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9"/>
      <name val="Cambria"/>
      <family val="1"/>
    </font>
    <font>
      <sz val="9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Times New Roman"/>
      <family val="1"/>
    </font>
    <font>
      <sz val="11"/>
      <color theme="1"/>
      <name val="Times New Roman"/>
      <family val="1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dotted"/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6" fillId="20" borderId="0" applyNumberFormat="0" applyBorder="0" applyAlignment="0" applyProtection="0"/>
    <xf numFmtId="0" fontId="76" fillId="21" borderId="0" applyNumberFormat="0" applyBorder="0" applyAlignment="0" applyProtection="0"/>
    <xf numFmtId="0" fontId="76" fillId="22" borderId="0" applyNumberFormat="0" applyBorder="0" applyAlignment="0" applyProtection="0"/>
    <xf numFmtId="0" fontId="76" fillId="23" borderId="0" applyNumberFormat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77" fillId="26" borderId="0" applyNumberFormat="0" applyBorder="0" applyAlignment="0" applyProtection="0"/>
    <xf numFmtId="0" fontId="75" fillId="0" borderId="0">
      <alignment/>
      <protection/>
    </xf>
    <xf numFmtId="0" fontId="78" fillId="27" borderId="1" applyNumberFormat="0" applyAlignment="0" applyProtection="0"/>
    <xf numFmtId="0" fontId="7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81" fillId="29" borderId="0" applyNumberFormat="0" applyBorder="0" applyAlignment="0" applyProtection="0"/>
    <xf numFmtId="0" fontId="82" fillId="0" borderId="3" applyNumberFormat="0" applyFill="0" applyAlignment="0" applyProtection="0"/>
    <xf numFmtId="0" fontId="83" fillId="0" borderId="4" applyNumberFormat="0" applyFill="0" applyAlignment="0" applyProtection="0"/>
    <xf numFmtId="0" fontId="84" fillId="0" borderId="5" applyNumberFormat="0" applyFill="0" applyAlignment="0" applyProtection="0"/>
    <xf numFmtId="0" fontId="8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85" fillId="30" borderId="1" applyNumberFormat="0" applyAlignment="0" applyProtection="0"/>
    <xf numFmtId="0" fontId="86" fillId="0" borderId="6" applyNumberFormat="0" applyFill="0" applyAlignment="0" applyProtection="0"/>
    <xf numFmtId="0" fontId="87" fillId="3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88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32" borderId="7" applyNumberFormat="0" applyFont="0" applyAlignment="0" applyProtection="0"/>
    <xf numFmtId="0" fontId="89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9" applyNumberFormat="0" applyFill="0" applyAlignment="0" applyProtection="0"/>
    <xf numFmtId="0" fontId="92" fillId="0" borderId="0" applyNumberFormat="0" applyFill="0" applyBorder="0" applyAlignment="0" applyProtection="0"/>
  </cellStyleXfs>
  <cellXfs count="812">
    <xf numFmtId="0" fontId="0" fillId="0" borderId="0" xfId="0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17" fillId="0" borderId="0" xfId="0" applyFont="1" applyAlignment="1">
      <alignment/>
    </xf>
    <xf numFmtId="0" fontId="6" fillId="0" borderId="0" xfId="0" applyFont="1" applyBorder="1" applyAlignment="1">
      <alignment vertical="center"/>
    </xf>
    <xf numFmtId="0" fontId="20" fillId="0" borderId="0" xfId="78" applyFont="1" applyFill="1" applyAlignment="1">
      <alignment horizontal="center"/>
      <protection/>
    </xf>
    <xf numFmtId="0" fontId="5" fillId="0" borderId="0" xfId="78" applyFont="1" applyFill="1">
      <alignment/>
      <protection/>
    </xf>
    <xf numFmtId="0" fontId="10" fillId="0" borderId="0" xfId="78" applyFont="1" applyFill="1" applyAlignment="1">
      <alignment horizontal="center"/>
      <protection/>
    </xf>
    <xf numFmtId="0" fontId="10" fillId="0" borderId="0" xfId="78" applyFont="1" applyFill="1">
      <alignment/>
      <protection/>
    </xf>
    <xf numFmtId="0" fontId="21" fillId="0" borderId="10" xfId="79" applyFont="1" applyFill="1" applyBorder="1" applyAlignment="1">
      <alignment horizontal="center" vertical="center" wrapText="1"/>
      <protection/>
    </xf>
    <xf numFmtId="0" fontId="21" fillId="0" borderId="10" xfId="79" applyFont="1" applyFill="1" applyBorder="1" applyAlignment="1">
      <alignment horizontal="left" vertical="center" wrapText="1"/>
      <protection/>
    </xf>
    <xf numFmtId="0" fontId="2" fillId="0" borderId="0" xfId="78" applyFont="1" applyFill="1">
      <alignment/>
      <protection/>
    </xf>
    <xf numFmtId="0" fontId="8" fillId="0" borderId="0" xfId="78" applyFont="1" applyFill="1">
      <alignment/>
      <protection/>
    </xf>
    <xf numFmtId="0" fontId="9" fillId="0" borderId="0" xfId="78" applyFont="1" applyFill="1">
      <alignment/>
      <protection/>
    </xf>
    <xf numFmtId="2" fontId="9" fillId="0" borderId="0" xfId="78" applyNumberFormat="1" applyFont="1" applyFill="1">
      <alignment/>
      <protection/>
    </xf>
    <xf numFmtId="0" fontId="8" fillId="0" borderId="0" xfId="78" applyFont="1" applyFill="1" applyAlignment="1">
      <alignment horizontal="center"/>
      <protection/>
    </xf>
    <xf numFmtId="43" fontId="9" fillId="0" borderId="0" xfId="78" applyNumberFormat="1" applyFont="1" applyFill="1">
      <alignment/>
      <protection/>
    </xf>
    <xf numFmtId="171" fontId="9" fillId="0" borderId="0" xfId="78" applyNumberFormat="1" applyFont="1" applyFill="1">
      <alignment/>
      <protection/>
    </xf>
    <xf numFmtId="3" fontId="8" fillId="0" borderId="0" xfId="78" applyNumberFormat="1" applyFont="1" applyFill="1">
      <alignment/>
      <protection/>
    </xf>
    <xf numFmtId="175" fontId="9" fillId="0" borderId="0" xfId="78" applyNumberFormat="1" applyFont="1" applyFill="1">
      <alignment/>
      <protection/>
    </xf>
    <xf numFmtId="0" fontId="9" fillId="0" borderId="0" xfId="78" applyFont="1" applyFill="1" applyAlignment="1">
      <alignment vertical="center" wrapText="1"/>
      <protection/>
    </xf>
    <xf numFmtId="0" fontId="5" fillId="0" borderId="0" xfId="78" applyFont="1" applyFill="1" applyAlignment="1">
      <alignment horizontal="left"/>
      <protection/>
    </xf>
    <xf numFmtId="0" fontId="5" fillId="0" borderId="0" xfId="78" applyFont="1" applyFill="1" applyAlignment="1">
      <alignment horizontal="center"/>
      <protection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3" fillId="33" borderId="0" xfId="0" applyFont="1" applyFill="1" applyAlignment="1">
      <alignment/>
    </xf>
    <xf numFmtId="0" fontId="23" fillId="34" borderId="0" xfId="0" applyFont="1" applyFill="1" applyAlignment="1">
      <alignment/>
    </xf>
    <xf numFmtId="0" fontId="23" fillId="35" borderId="0" xfId="0" applyFont="1" applyFill="1" applyAlignment="1">
      <alignment/>
    </xf>
    <xf numFmtId="0" fontId="24" fillId="0" borderId="0" xfId="77" applyFont="1" applyFill="1" applyAlignment="1">
      <alignment horizontal="center" vertical="center"/>
      <protection/>
    </xf>
    <xf numFmtId="0" fontId="25" fillId="0" borderId="0" xfId="77" applyFont="1" applyFill="1" applyAlignment="1">
      <alignment vertical="center"/>
      <protection/>
    </xf>
    <xf numFmtId="0" fontId="25" fillId="33" borderId="0" xfId="77" applyFont="1" applyFill="1" applyAlignment="1">
      <alignment vertical="center"/>
      <protection/>
    </xf>
    <xf numFmtId="0" fontId="25" fillId="34" borderId="0" xfId="77" applyFont="1" applyFill="1" applyAlignment="1">
      <alignment vertical="center"/>
      <protection/>
    </xf>
    <xf numFmtId="0" fontId="25" fillId="35" borderId="0" xfId="77" applyFont="1" applyFill="1" applyAlignment="1">
      <alignment vertical="center"/>
      <protection/>
    </xf>
    <xf numFmtId="0" fontId="26" fillId="36" borderId="10" xfId="0" applyFont="1" applyFill="1" applyBorder="1" applyAlignment="1">
      <alignment horizontal="center"/>
    </xf>
    <xf numFmtId="0" fontId="23" fillId="36" borderId="10" xfId="0" applyFont="1" applyFill="1" applyBorder="1" applyAlignment="1">
      <alignment horizontal="center"/>
    </xf>
    <xf numFmtId="0" fontId="23" fillId="36" borderId="0" xfId="0" applyFont="1" applyFill="1" applyAlignment="1">
      <alignment/>
    </xf>
    <xf numFmtId="0" fontId="23" fillId="0" borderId="0" xfId="77" applyFont="1" applyFill="1">
      <alignment/>
      <protection/>
    </xf>
    <xf numFmtId="0" fontId="27" fillId="0" borderId="0" xfId="77" applyFont="1" applyFill="1">
      <alignment/>
      <protection/>
    </xf>
    <xf numFmtId="0" fontId="8" fillId="0" borderId="11" xfId="77" applyFont="1" applyFill="1" applyBorder="1" applyAlignment="1">
      <alignment horizontal="center" vertical="center" wrapText="1"/>
      <protection/>
    </xf>
    <xf numFmtId="0" fontId="23" fillId="0" borderId="0" xfId="0" applyFont="1" applyFill="1" applyAlignment="1">
      <alignment horizontal="center"/>
    </xf>
    <xf numFmtId="0" fontId="8" fillId="0" borderId="11" xfId="77" applyFont="1" applyFill="1" applyBorder="1" applyAlignment="1">
      <alignment horizontal="center"/>
      <protection/>
    </xf>
    <xf numFmtId="0" fontId="16" fillId="0" borderId="0" xfId="0" applyFont="1" applyFill="1" applyAlignment="1">
      <alignment horizontal="center"/>
    </xf>
    <xf numFmtId="0" fontId="17" fillId="37" borderId="0" xfId="0" applyFont="1" applyFill="1" applyAlignment="1">
      <alignment/>
    </xf>
    <xf numFmtId="0" fontId="19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3" fillId="0" borderId="11" xfId="0" applyFont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3" fontId="5" fillId="0" borderId="0" xfId="0" applyNumberFormat="1" applyFont="1" applyFill="1" applyAlignment="1">
      <alignment/>
    </xf>
    <xf numFmtId="0" fontId="14" fillId="0" borderId="0" xfId="0" applyFont="1" applyFill="1" applyAlignment="1">
      <alignment horizontal="center"/>
    </xf>
    <xf numFmtId="0" fontId="8" fillId="0" borderId="0" xfId="78" applyFont="1" applyFill="1">
      <alignment/>
      <protection/>
    </xf>
    <xf numFmtId="0" fontId="8" fillId="0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Alignment="1">
      <alignment horizontal="right"/>
    </xf>
    <xf numFmtId="0" fontId="14" fillId="0" borderId="0" xfId="0" applyFont="1" applyFill="1" applyAlignment="1">
      <alignment horizontal="right"/>
    </xf>
    <xf numFmtId="0" fontId="34" fillId="0" borderId="0" xfId="0" applyFont="1" applyFill="1" applyAlignment="1">
      <alignment/>
    </xf>
    <xf numFmtId="0" fontId="34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36" fillId="0" borderId="0" xfId="0" applyFont="1" applyFill="1" applyAlignment="1">
      <alignment/>
    </xf>
    <xf numFmtId="0" fontId="25" fillId="0" borderId="0" xfId="0" applyFont="1" applyFill="1" applyAlignment="1">
      <alignment horizontal="center"/>
    </xf>
    <xf numFmtId="0" fontId="25" fillId="0" borderId="0" xfId="0" applyFont="1" applyFill="1" applyAlignment="1">
      <alignment/>
    </xf>
    <xf numFmtId="0" fontId="34" fillId="0" borderId="0" xfId="0" applyFont="1" applyFill="1" applyAlignment="1">
      <alignment horizontal="center"/>
    </xf>
    <xf numFmtId="176" fontId="19" fillId="0" borderId="0" xfId="0" applyNumberFormat="1" applyFont="1" applyFill="1" applyAlignment="1">
      <alignment horizontal="right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Fill="1" applyAlignment="1">
      <alignment/>
    </xf>
    <xf numFmtId="0" fontId="9" fillId="0" borderId="0" xfId="0" applyFont="1" applyFill="1" applyAlignment="1">
      <alignment vertic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36" fillId="0" borderId="0" xfId="0" applyFont="1" applyAlignment="1">
      <alignment/>
    </xf>
    <xf numFmtId="0" fontId="34" fillId="0" borderId="0" xfId="0" applyFont="1" applyAlignment="1">
      <alignment/>
    </xf>
    <xf numFmtId="0" fontId="36" fillId="36" borderId="0" xfId="0" applyFont="1" applyFill="1" applyAlignment="1">
      <alignment/>
    </xf>
    <xf numFmtId="0" fontId="7" fillId="0" borderId="0" xfId="0" applyFont="1" applyFill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/>
    </xf>
    <xf numFmtId="3" fontId="3" fillId="0" borderId="0" xfId="0" applyNumberFormat="1" applyFont="1" applyAlignment="1">
      <alignment/>
    </xf>
    <xf numFmtId="0" fontId="3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7" fillId="36" borderId="0" xfId="0" applyFont="1" applyFill="1" applyAlignment="1">
      <alignment/>
    </xf>
    <xf numFmtId="0" fontId="17" fillId="36" borderId="0" xfId="0" applyFont="1" applyFill="1" applyAlignment="1">
      <alignment horizontal="center"/>
    </xf>
    <xf numFmtId="0" fontId="34" fillId="36" borderId="0" xfId="0" applyFont="1" applyFill="1" applyAlignment="1">
      <alignment/>
    </xf>
    <xf numFmtId="0" fontId="9" fillId="36" borderId="0" xfId="78" applyFont="1" applyFill="1">
      <alignment/>
      <protection/>
    </xf>
    <xf numFmtId="0" fontId="3" fillId="36" borderId="0" xfId="0" applyFont="1" applyFill="1" applyAlignment="1">
      <alignment/>
    </xf>
    <xf numFmtId="174" fontId="32" fillId="0" borderId="0" xfId="46" applyNumberFormat="1" applyFont="1" applyFill="1" applyAlignment="1">
      <alignment/>
    </xf>
    <xf numFmtId="0" fontId="21" fillId="0" borderId="0" xfId="79" applyFont="1" applyFill="1" applyBorder="1" applyAlignment="1">
      <alignment horizontal="center" vertical="center" wrapText="1"/>
      <protection/>
    </xf>
    <xf numFmtId="0" fontId="1" fillId="0" borderId="0" xfId="0" applyFont="1" applyBorder="1" applyAlignment="1">
      <alignment/>
    </xf>
    <xf numFmtId="173" fontId="36" fillId="0" borderId="0" xfId="46" applyNumberFormat="1" applyFont="1" applyFill="1" applyAlignment="1">
      <alignment/>
    </xf>
    <xf numFmtId="173" fontId="5" fillId="0" borderId="0" xfId="0" applyNumberFormat="1" applyFont="1" applyFill="1" applyAlignment="1">
      <alignment horizontal="right"/>
    </xf>
    <xf numFmtId="4" fontId="5" fillId="0" borderId="0" xfId="0" applyNumberFormat="1" applyFont="1" applyFill="1" applyAlignment="1">
      <alignment horizontal="right"/>
    </xf>
    <xf numFmtId="174" fontId="5" fillId="0" borderId="0" xfId="0" applyNumberFormat="1" applyFont="1" applyFill="1" applyAlignment="1">
      <alignment horizontal="right"/>
    </xf>
    <xf numFmtId="179" fontId="5" fillId="0" borderId="0" xfId="0" applyNumberFormat="1" applyFont="1" applyFill="1" applyAlignment="1">
      <alignment horizontal="right"/>
    </xf>
    <xf numFmtId="3" fontId="3" fillId="0" borderId="12" xfId="0" applyNumberFormat="1" applyFont="1" applyFill="1" applyBorder="1" applyAlignment="1">
      <alignment horizontal="right"/>
    </xf>
    <xf numFmtId="3" fontId="3" fillId="0" borderId="12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 horizontal="center" vertical="center"/>
    </xf>
    <xf numFmtId="3" fontId="3" fillId="0" borderId="12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center"/>
    </xf>
    <xf numFmtId="0" fontId="39" fillId="0" borderId="12" xfId="0" applyFont="1" applyFill="1" applyBorder="1" applyAlignment="1">
      <alignment/>
    </xf>
    <xf numFmtId="3" fontId="2" fillId="0" borderId="12" xfId="0" applyNumberFormat="1" applyFont="1" applyFill="1" applyBorder="1" applyAlignment="1">
      <alignment horizontal="right"/>
    </xf>
    <xf numFmtId="0" fontId="40" fillId="0" borderId="12" xfId="0" applyFont="1" applyFill="1" applyBorder="1" applyAlignment="1">
      <alignment/>
    </xf>
    <xf numFmtId="0" fontId="3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/>
    </xf>
    <xf numFmtId="3" fontId="38" fillId="0" borderId="12" xfId="0" applyNumberFormat="1" applyFont="1" applyFill="1" applyBorder="1" applyAlignment="1">
      <alignment horizontal="right"/>
    </xf>
    <xf numFmtId="0" fontId="41" fillId="0" borderId="12" xfId="0" applyFont="1" applyFill="1" applyBorder="1" applyAlignment="1">
      <alignment/>
    </xf>
    <xf numFmtId="0" fontId="38" fillId="0" borderId="12" xfId="0" applyFont="1" applyFill="1" applyBorder="1" applyAlignment="1">
      <alignment horizontal="center"/>
    </xf>
    <xf numFmtId="0" fontId="38" fillId="0" borderId="12" xfId="0" applyFont="1" applyFill="1" applyBorder="1" applyAlignment="1">
      <alignment/>
    </xf>
    <xf numFmtId="173" fontId="2" fillId="0" borderId="12" xfId="46" applyNumberFormat="1" applyFont="1" applyFill="1" applyBorder="1" applyAlignment="1">
      <alignment horizontal="center" vertical="center"/>
    </xf>
    <xf numFmtId="173" fontId="3" fillId="0" borderId="12" xfId="46" applyNumberFormat="1" applyFont="1" applyFill="1" applyBorder="1" applyAlignment="1">
      <alignment horizontal="center" vertical="center"/>
    </xf>
    <xf numFmtId="173" fontId="36" fillId="0" borderId="0" xfId="46" applyNumberFormat="1" applyFont="1" applyAlignment="1">
      <alignment/>
    </xf>
    <xf numFmtId="173" fontId="34" fillId="0" borderId="0" xfId="0" applyNumberFormat="1" applyFont="1" applyAlignment="1">
      <alignment/>
    </xf>
    <xf numFmtId="173" fontId="36" fillId="0" borderId="0" xfId="0" applyNumberFormat="1" applyFont="1" applyAlignment="1">
      <alignment/>
    </xf>
    <xf numFmtId="172" fontId="3" fillId="0" borderId="12" xfId="0" applyNumberFormat="1" applyFont="1" applyFill="1" applyBorder="1" applyAlignment="1">
      <alignment horizontal="center" vertical="center"/>
    </xf>
    <xf numFmtId="0" fontId="44" fillId="0" borderId="0" xfId="77" applyFont="1" applyFill="1" applyAlignment="1">
      <alignment vertical="center"/>
      <protection/>
    </xf>
    <xf numFmtId="0" fontId="28" fillId="36" borderId="11" xfId="77" applyFont="1" applyFill="1" applyBorder="1" applyAlignment="1">
      <alignment horizontal="center" vertical="center"/>
      <protection/>
    </xf>
    <xf numFmtId="49" fontId="28" fillId="36" borderId="11" xfId="77" applyNumberFormat="1" applyFont="1" applyFill="1" applyBorder="1" applyAlignment="1">
      <alignment vertical="center"/>
      <protection/>
    </xf>
    <xf numFmtId="3" fontId="28" fillId="33" borderId="11" xfId="74" applyNumberFormat="1" applyFont="1" applyFill="1" applyBorder="1">
      <alignment/>
      <protection/>
    </xf>
    <xf numFmtId="3" fontId="28" fillId="34" borderId="11" xfId="74" applyNumberFormat="1" applyFont="1" applyFill="1" applyBorder="1">
      <alignment/>
      <protection/>
    </xf>
    <xf numFmtId="3" fontId="28" fillId="35" borderId="11" xfId="74" applyNumberFormat="1" applyFont="1" applyFill="1" applyBorder="1">
      <alignment/>
      <protection/>
    </xf>
    <xf numFmtId="3" fontId="28" fillId="36" borderId="11" xfId="74" applyNumberFormat="1" applyFont="1" applyFill="1" applyBorder="1">
      <alignment/>
      <protection/>
    </xf>
    <xf numFmtId="0" fontId="28" fillId="36" borderId="11" xfId="77" applyFont="1" applyFill="1" applyBorder="1" applyAlignment="1">
      <alignment vertical="center"/>
      <protection/>
    </xf>
    <xf numFmtId="49" fontId="28" fillId="36" borderId="11" xfId="77" applyNumberFormat="1" applyFont="1" applyFill="1" applyBorder="1" applyAlignment="1" quotePrefix="1">
      <alignment vertical="center"/>
      <protection/>
    </xf>
    <xf numFmtId="173" fontId="28" fillId="33" borderId="11" xfId="55" applyNumberFormat="1" applyFont="1" applyFill="1" applyBorder="1" applyAlignment="1">
      <alignment vertical="center"/>
    </xf>
    <xf numFmtId="173" fontId="28" fillId="34" borderId="11" xfId="55" applyNumberFormat="1" applyFont="1" applyFill="1" applyBorder="1" applyAlignment="1">
      <alignment horizontal="right" vertical="center"/>
    </xf>
    <xf numFmtId="173" fontId="28" fillId="36" borderId="11" xfId="74" applyNumberFormat="1" applyFont="1" applyFill="1" applyBorder="1">
      <alignment/>
      <protection/>
    </xf>
    <xf numFmtId="3" fontId="45" fillId="0" borderId="0" xfId="77" applyNumberFormat="1" applyFont="1" applyFill="1" applyAlignment="1">
      <alignment vertical="center"/>
      <protection/>
    </xf>
    <xf numFmtId="0" fontId="37" fillId="36" borderId="11" xfId="77" applyFont="1" applyFill="1" applyBorder="1" applyAlignment="1">
      <alignment vertical="center"/>
      <protection/>
    </xf>
    <xf numFmtId="49" fontId="37" fillId="36" borderId="11" xfId="77" applyNumberFormat="1" applyFont="1" applyFill="1" applyBorder="1" applyAlignment="1" quotePrefix="1">
      <alignment vertical="center"/>
      <protection/>
    </xf>
    <xf numFmtId="0" fontId="37" fillId="36" borderId="11" xfId="77" applyFont="1" applyFill="1" applyBorder="1" applyAlignment="1">
      <alignment horizontal="center" vertical="center"/>
      <protection/>
    </xf>
    <xf numFmtId="173" fontId="37" fillId="33" borderId="11" xfId="55" applyNumberFormat="1" applyFont="1" applyFill="1" applyBorder="1" applyAlignment="1">
      <alignment vertical="center"/>
    </xf>
    <xf numFmtId="173" fontId="37" fillId="34" borderId="11" xfId="55" applyNumberFormat="1" applyFont="1" applyFill="1" applyBorder="1" applyAlignment="1">
      <alignment horizontal="right" vertical="center"/>
    </xf>
    <xf numFmtId="3" fontId="37" fillId="35" borderId="11" xfId="74" applyNumberFormat="1" applyFont="1" applyFill="1" applyBorder="1">
      <alignment/>
      <protection/>
    </xf>
    <xf numFmtId="173" fontId="37" fillId="36" borderId="11" xfId="46" applyNumberFormat="1" applyFont="1" applyFill="1" applyBorder="1" applyAlignment="1">
      <alignment/>
    </xf>
    <xf numFmtId="173" fontId="37" fillId="36" borderId="11" xfId="46" applyNumberFormat="1" applyFont="1" applyFill="1" applyBorder="1" applyAlignment="1">
      <alignment horizontal="center"/>
    </xf>
    <xf numFmtId="0" fontId="45" fillId="0" borderId="0" xfId="77" applyFont="1" applyFill="1" applyAlignment="1">
      <alignment vertical="center"/>
      <protection/>
    </xf>
    <xf numFmtId="173" fontId="45" fillId="0" borderId="0" xfId="77" applyNumberFormat="1" applyFont="1" applyFill="1" applyAlignment="1">
      <alignment vertical="center"/>
      <protection/>
    </xf>
    <xf numFmtId="173" fontId="28" fillId="36" borderId="11" xfId="46" applyNumberFormat="1" applyFont="1" applyFill="1" applyBorder="1" applyAlignment="1">
      <alignment/>
    </xf>
    <xf numFmtId="173" fontId="28" fillId="36" borderId="11" xfId="46" applyNumberFormat="1" applyFont="1" applyFill="1" applyBorder="1" applyAlignment="1">
      <alignment horizontal="center"/>
    </xf>
    <xf numFmtId="174" fontId="37" fillId="33" borderId="11" xfId="46" applyNumberFormat="1" applyFont="1" applyFill="1" applyBorder="1" applyAlignment="1">
      <alignment vertical="center"/>
    </xf>
    <xf numFmtId="174" fontId="37" fillId="34" borderId="11" xfId="46" applyNumberFormat="1" applyFont="1" applyFill="1" applyBorder="1" applyAlignment="1">
      <alignment vertical="center"/>
    </xf>
    <xf numFmtId="172" fontId="37" fillId="35" borderId="11" xfId="74" applyNumberFormat="1" applyFont="1" applyFill="1" applyBorder="1">
      <alignment/>
      <protection/>
    </xf>
    <xf numFmtId="174" fontId="37" fillId="36" borderId="11" xfId="46" applyNumberFormat="1" applyFont="1" applyFill="1" applyBorder="1" applyAlignment="1">
      <alignment/>
    </xf>
    <xf numFmtId="0" fontId="37" fillId="0" borderId="11" xfId="77" applyFont="1" applyFill="1" applyBorder="1" applyAlignment="1">
      <alignment vertical="center"/>
      <protection/>
    </xf>
    <xf numFmtId="49" fontId="37" fillId="0" borderId="11" xfId="77" applyNumberFormat="1" applyFont="1" applyFill="1" applyBorder="1" applyAlignment="1" quotePrefix="1">
      <alignment vertical="center"/>
      <protection/>
    </xf>
    <xf numFmtId="0" fontId="37" fillId="0" borderId="11" xfId="77" applyFont="1" applyFill="1" applyBorder="1" applyAlignment="1">
      <alignment horizontal="center" vertical="center"/>
      <protection/>
    </xf>
    <xf numFmtId="174" fontId="37" fillId="0" borderId="11" xfId="46" applyNumberFormat="1" applyFont="1" applyFill="1" applyBorder="1" applyAlignment="1">
      <alignment horizontal="right"/>
    </xf>
    <xf numFmtId="174" fontId="37" fillId="0" borderId="11" xfId="46" applyNumberFormat="1" applyFont="1" applyFill="1" applyBorder="1" applyAlignment="1">
      <alignment/>
    </xf>
    <xf numFmtId="174" fontId="37" fillId="0" borderId="11" xfId="46" applyNumberFormat="1" applyFont="1" applyFill="1" applyBorder="1" applyAlignment="1">
      <alignment horizontal="center"/>
    </xf>
    <xf numFmtId="10" fontId="45" fillId="0" borderId="0" xfId="82" applyNumberFormat="1" applyFont="1" applyFill="1" applyAlignment="1">
      <alignment vertical="center"/>
    </xf>
    <xf numFmtId="49" fontId="37" fillId="36" borderId="11" xfId="77" applyNumberFormat="1" applyFont="1" applyFill="1" applyBorder="1" applyAlignment="1" quotePrefix="1">
      <alignment horizontal="left" vertical="center" indent="3"/>
      <protection/>
    </xf>
    <xf numFmtId="173" fontId="44" fillId="0" borderId="0" xfId="77" applyNumberFormat="1" applyFont="1" applyFill="1" applyAlignment="1">
      <alignment vertical="center"/>
      <protection/>
    </xf>
    <xf numFmtId="173" fontId="28" fillId="33" borderId="11" xfId="46" applyNumberFormat="1" applyFont="1" applyFill="1" applyBorder="1" applyAlignment="1">
      <alignment/>
    </xf>
    <xf numFmtId="173" fontId="28" fillId="34" borderId="11" xfId="46" applyNumberFormat="1" applyFont="1" applyFill="1" applyBorder="1" applyAlignment="1">
      <alignment/>
    </xf>
    <xf numFmtId="0" fontId="44" fillId="0" borderId="0" xfId="0" applyFont="1" applyFill="1" applyAlignment="1">
      <alignment/>
    </xf>
    <xf numFmtId="0" fontId="45" fillId="0" borderId="0" xfId="0" applyFont="1" applyFill="1" applyAlignment="1">
      <alignment/>
    </xf>
    <xf numFmtId="0" fontId="37" fillId="36" borderId="11" xfId="0" applyFont="1" applyFill="1" applyBorder="1" applyAlignment="1">
      <alignment horizontal="center"/>
    </xf>
    <xf numFmtId="174" fontId="37" fillId="35" borderId="11" xfId="46" applyNumberFormat="1" applyFont="1" applyFill="1" applyBorder="1" applyAlignment="1">
      <alignment vertical="center"/>
    </xf>
    <xf numFmtId="174" fontId="37" fillId="36" borderId="11" xfId="46" applyNumberFormat="1" applyFont="1" applyFill="1" applyBorder="1" applyAlignment="1">
      <alignment vertical="center"/>
    </xf>
    <xf numFmtId="173" fontId="44" fillId="36" borderId="0" xfId="77" applyNumberFormat="1" applyFont="1" applyFill="1" applyAlignment="1">
      <alignment vertical="center"/>
      <protection/>
    </xf>
    <xf numFmtId="0" fontId="46" fillId="36" borderId="11" xfId="77" applyFont="1" applyFill="1" applyBorder="1" applyAlignment="1">
      <alignment horizontal="center" vertical="center"/>
      <protection/>
    </xf>
    <xf numFmtId="49" fontId="46" fillId="36" borderId="11" xfId="77" applyNumberFormat="1" applyFont="1" applyFill="1" applyBorder="1" applyAlignment="1">
      <alignment vertical="center"/>
      <protection/>
    </xf>
    <xf numFmtId="173" fontId="28" fillId="36" borderId="11" xfId="55" applyNumberFormat="1" applyFont="1" applyFill="1" applyBorder="1" applyAlignment="1">
      <alignment vertical="center"/>
    </xf>
    <xf numFmtId="173" fontId="28" fillId="36" borderId="11" xfId="55" applyNumberFormat="1" applyFont="1" applyFill="1" applyBorder="1" applyAlignment="1">
      <alignment horizontal="right" vertical="center"/>
    </xf>
    <xf numFmtId="0" fontId="44" fillId="36" borderId="0" xfId="77" applyFont="1" applyFill="1" applyAlignment="1">
      <alignment vertical="center"/>
      <protection/>
    </xf>
    <xf numFmtId="173" fontId="45" fillId="36" borderId="0" xfId="77" applyNumberFormat="1" applyFont="1" applyFill="1" applyAlignment="1">
      <alignment vertical="center"/>
      <protection/>
    </xf>
    <xf numFmtId="3" fontId="37" fillId="36" borderId="11" xfId="74" applyNumberFormat="1" applyFont="1" applyFill="1" applyBorder="1">
      <alignment/>
      <protection/>
    </xf>
    <xf numFmtId="0" fontId="45" fillId="36" borderId="0" xfId="0" applyFont="1" applyFill="1" applyAlignment="1">
      <alignment/>
    </xf>
    <xf numFmtId="43" fontId="45" fillId="0" borderId="0" xfId="77" applyNumberFormat="1" applyFont="1" applyFill="1" applyAlignment="1">
      <alignment vertical="center"/>
      <protection/>
    </xf>
    <xf numFmtId="174" fontId="37" fillId="34" borderId="11" xfId="46" applyNumberFormat="1" applyFont="1" applyFill="1" applyBorder="1" applyAlignment="1">
      <alignment horizontal="right" vertical="center"/>
    </xf>
    <xf numFmtId="174" fontId="37" fillId="36" borderId="11" xfId="46" applyNumberFormat="1" applyFont="1" applyFill="1" applyBorder="1" applyAlignment="1">
      <alignment/>
    </xf>
    <xf numFmtId="174" fontId="37" fillId="36" borderId="11" xfId="46" applyNumberFormat="1" applyFont="1" applyFill="1" applyBorder="1" applyAlignment="1">
      <alignment horizontal="center" vertical="center"/>
    </xf>
    <xf numFmtId="173" fontId="37" fillId="36" borderId="11" xfId="46" applyNumberFormat="1" applyFont="1" applyFill="1" applyBorder="1" applyAlignment="1">
      <alignment horizontal="right"/>
    </xf>
    <xf numFmtId="174" fontId="37" fillId="36" borderId="11" xfId="46" applyNumberFormat="1" applyFont="1" applyFill="1" applyBorder="1" applyAlignment="1">
      <alignment horizontal="right"/>
    </xf>
    <xf numFmtId="174" fontId="37" fillId="36" borderId="11" xfId="46" applyNumberFormat="1" applyFont="1" applyFill="1" applyBorder="1" applyAlignment="1">
      <alignment horizontal="right" vertical="center"/>
    </xf>
    <xf numFmtId="0" fontId="37" fillId="36" borderId="11" xfId="77" applyFont="1" applyFill="1" applyBorder="1" applyAlignment="1">
      <alignment horizontal="right" vertical="center"/>
      <protection/>
    </xf>
    <xf numFmtId="43" fontId="37" fillId="33" borderId="11" xfId="46" applyNumberFormat="1" applyFont="1" applyFill="1" applyBorder="1" applyAlignment="1">
      <alignment vertical="center"/>
    </xf>
    <xf numFmtId="43" fontId="37" fillId="34" borderId="11" xfId="46" applyNumberFormat="1" applyFont="1" applyFill="1" applyBorder="1" applyAlignment="1">
      <alignment horizontal="right" vertical="center"/>
    </xf>
    <xf numFmtId="43" fontId="37" fillId="35" borderId="11" xfId="74" applyNumberFormat="1" applyFont="1" applyFill="1" applyBorder="1">
      <alignment/>
      <protection/>
    </xf>
    <xf numFmtId="173" fontId="37" fillId="33" borderId="11" xfId="46" applyNumberFormat="1" applyFont="1" applyFill="1" applyBorder="1" applyAlignment="1">
      <alignment/>
    </xf>
    <xf numFmtId="173" fontId="37" fillId="34" borderId="11" xfId="46" applyNumberFormat="1" applyFont="1" applyFill="1" applyBorder="1" applyAlignment="1">
      <alignment/>
    </xf>
    <xf numFmtId="0" fontId="37" fillId="36" borderId="11" xfId="77" applyNumberFormat="1" applyFont="1" applyFill="1" applyBorder="1" applyAlignment="1">
      <alignment vertical="center"/>
      <protection/>
    </xf>
    <xf numFmtId="10" fontId="37" fillId="36" borderId="11" xfId="77" applyNumberFormat="1" applyFont="1" applyFill="1" applyBorder="1" applyAlignment="1">
      <alignment vertical="center"/>
      <protection/>
    </xf>
    <xf numFmtId="175" fontId="37" fillId="36" borderId="11" xfId="77" applyNumberFormat="1" applyFont="1" applyFill="1" applyBorder="1" applyAlignment="1">
      <alignment vertical="center"/>
      <protection/>
    </xf>
    <xf numFmtId="173" fontId="28" fillId="34" borderId="11" xfId="55" applyNumberFormat="1" applyFont="1" applyFill="1" applyBorder="1" applyAlignment="1">
      <alignment vertical="center"/>
    </xf>
    <xf numFmtId="173" fontId="28" fillId="35" borderId="11" xfId="55" applyNumberFormat="1" applyFont="1" applyFill="1" applyBorder="1" applyAlignment="1">
      <alignment vertical="center"/>
    </xf>
    <xf numFmtId="174" fontId="37" fillId="33" borderId="11" xfId="55" applyNumberFormat="1" applyFont="1" applyFill="1" applyBorder="1" applyAlignment="1">
      <alignment vertical="center"/>
    </xf>
    <xf numFmtId="174" fontId="37" fillId="34" borderId="11" xfId="55" applyNumberFormat="1" applyFont="1" applyFill="1" applyBorder="1" applyAlignment="1">
      <alignment horizontal="right" vertical="center"/>
    </xf>
    <xf numFmtId="49" fontId="37" fillId="36" borderId="11" xfId="77" applyNumberFormat="1" applyFont="1" applyFill="1" applyBorder="1" applyAlignment="1">
      <alignment vertical="center"/>
      <protection/>
    </xf>
    <xf numFmtId="173" fontId="37" fillId="36" borderId="11" xfId="55" applyNumberFormat="1" applyFont="1" applyFill="1" applyBorder="1" applyAlignment="1">
      <alignment vertical="center"/>
    </xf>
    <xf numFmtId="173" fontId="37" fillId="36" borderId="11" xfId="55" applyNumberFormat="1" applyFont="1" applyFill="1" applyBorder="1" applyAlignment="1">
      <alignment horizontal="right" vertical="center"/>
    </xf>
    <xf numFmtId="43" fontId="37" fillId="36" borderId="11" xfId="46" applyFont="1" applyFill="1" applyBorder="1" applyAlignment="1">
      <alignment vertical="center"/>
    </xf>
    <xf numFmtId="0" fontId="45" fillId="36" borderId="0" xfId="77" applyFont="1" applyFill="1" applyAlignment="1">
      <alignment vertical="center"/>
      <protection/>
    </xf>
    <xf numFmtId="0" fontId="37" fillId="36" borderId="11" xfId="74" applyFont="1" applyFill="1" applyBorder="1">
      <alignment/>
      <protection/>
    </xf>
    <xf numFmtId="43" fontId="37" fillId="36" borderId="11" xfId="46" applyFont="1" applyFill="1" applyBorder="1" applyAlignment="1">
      <alignment/>
    </xf>
    <xf numFmtId="0" fontId="28" fillId="36" borderId="11" xfId="74" applyFont="1" applyFill="1" applyBorder="1">
      <alignment/>
      <protection/>
    </xf>
    <xf numFmtId="0" fontId="28" fillId="36" borderId="11" xfId="77" applyFont="1" applyFill="1" applyBorder="1" applyAlignment="1">
      <alignment horizontal="right" vertical="center"/>
      <protection/>
    </xf>
    <xf numFmtId="0" fontId="47" fillId="0" borderId="0" xfId="77" applyFont="1" applyFill="1" applyAlignment="1">
      <alignment vertical="center"/>
      <protection/>
    </xf>
    <xf numFmtId="173" fontId="28" fillId="33" borderId="11" xfId="46" applyNumberFormat="1" applyFont="1" applyFill="1" applyBorder="1" applyAlignment="1">
      <alignment vertical="center"/>
    </xf>
    <xf numFmtId="173" fontId="28" fillId="34" borderId="11" xfId="46" applyNumberFormat="1" applyFont="1" applyFill="1" applyBorder="1" applyAlignment="1">
      <alignment vertical="center"/>
    </xf>
    <xf numFmtId="173" fontId="28" fillId="36" borderId="11" xfId="46" applyNumberFormat="1" applyFont="1" applyFill="1" applyBorder="1" applyAlignment="1">
      <alignment vertical="center"/>
    </xf>
    <xf numFmtId="173" fontId="37" fillId="36" borderId="11" xfId="46" applyNumberFormat="1" applyFont="1" applyFill="1" applyBorder="1" applyAlignment="1">
      <alignment vertical="center"/>
    </xf>
    <xf numFmtId="49" fontId="37" fillId="36" borderId="11" xfId="77" applyNumberFormat="1" applyFont="1" applyFill="1" applyBorder="1" applyAlignment="1">
      <alignment horizontal="left" vertical="center" indent="3"/>
      <protection/>
    </xf>
    <xf numFmtId="173" fontId="37" fillId="33" borderId="11" xfId="46" applyNumberFormat="1" applyFont="1" applyFill="1" applyBorder="1" applyAlignment="1">
      <alignment vertical="center"/>
    </xf>
    <xf numFmtId="173" fontId="37" fillId="34" borderId="11" xfId="46" applyNumberFormat="1" applyFont="1" applyFill="1" applyBorder="1" applyAlignment="1">
      <alignment vertical="center"/>
    </xf>
    <xf numFmtId="173" fontId="37" fillId="36" borderId="11" xfId="56" applyNumberFormat="1" applyFont="1" applyFill="1" applyBorder="1" applyAlignment="1">
      <alignment horizontal="right"/>
    </xf>
    <xf numFmtId="0" fontId="48" fillId="0" borderId="0" xfId="77" applyFont="1" applyFill="1" applyAlignment="1">
      <alignment vertical="center"/>
      <protection/>
    </xf>
    <xf numFmtId="0" fontId="44" fillId="0" borderId="11" xfId="77" applyFont="1" applyFill="1" applyBorder="1" applyAlignment="1">
      <alignment/>
      <protection/>
    </xf>
    <xf numFmtId="49" fontId="44" fillId="0" borderId="11" xfId="77" applyNumberFormat="1" applyFont="1" applyFill="1" applyBorder="1" applyAlignment="1">
      <alignment/>
      <protection/>
    </xf>
    <xf numFmtId="0" fontId="28" fillId="33" borderId="11" xfId="0" applyFont="1" applyFill="1" applyBorder="1" applyAlignment="1">
      <alignment/>
    </xf>
    <xf numFmtId="0" fontId="28" fillId="34" borderId="11" xfId="0" applyFont="1" applyFill="1" applyBorder="1" applyAlignment="1">
      <alignment/>
    </xf>
    <xf numFmtId="0" fontId="28" fillId="36" borderId="11" xfId="0" applyFont="1" applyFill="1" applyBorder="1" applyAlignment="1">
      <alignment/>
    </xf>
    <xf numFmtId="0" fontId="4" fillId="0" borderId="0" xfId="78" applyFont="1" applyFill="1">
      <alignment/>
      <protection/>
    </xf>
    <xf numFmtId="0" fontId="34" fillId="38" borderId="0" xfId="0" applyFont="1" applyFill="1" applyAlignment="1">
      <alignment/>
    </xf>
    <xf numFmtId="172" fontId="2" fillId="0" borderId="13" xfId="0" applyNumberFormat="1" applyFont="1" applyFill="1" applyBorder="1" applyAlignment="1">
      <alignment horizontal="center" vertical="center"/>
    </xf>
    <xf numFmtId="172" fontId="2" fillId="0" borderId="12" xfId="0" applyNumberFormat="1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/>
    </xf>
    <xf numFmtId="3" fontId="38" fillId="0" borderId="12" xfId="0" applyNumberFormat="1" applyFont="1" applyFill="1" applyBorder="1" applyAlignment="1">
      <alignment/>
    </xf>
    <xf numFmtId="0" fontId="36" fillId="36" borderId="0" xfId="0" applyFont="1" applyFill="1" applyAlignment="1">
      <alignment horizontal="center" vertical="center"/>
    </xf>
    <xf numFmtId="173" fontId="9" fillId="0" borderId="0" xfId="51" applyNumberFormat="1" applyFont="1" applyFill="1" applyAlignment="1">
      <alignment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49" fontId="3" fillId="0" borderId="11" xfId="0" applyNumberFormat="1" applyFont="1" applyFill="1" applyBorder="1" applyAlignment="1" applyProtection="1">
      <alignment horizontal="center" vertical="center" wrapText="1"/>
      <protection/>
    </xf>
    <xf numFmtId="173" fontId="3" fillId="0" borderId="11" xfId="0" applyNumberFormat="1" applyFont="1" applyFill="1" applyBorder="1" applyAlignment="1" applyProtection="1">
      <alignment horizontal="right" vertical="center" wrapText="1"/>
      <protection/>
    </xf>
    <xf numFmtId="175" fontId="3" fillId="0" borderId="11" xfId="0" applyNumberFormat="1" applyFont="1" applyFill="1" applyBorder="1" applyAlignment="1" applyProtection="1">
      <alignment horizontal="right" vertical="center" wrapText="1"/>
      <protection/>
    </xf>
    <xf numFmtId="1" fontId="3" fillId="0" borderId="11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Border="1" applyAlignment="1">
      <alignment/>
    </xf>
    <xf numFmtId="1" fontId="3" fillId="0" borderId="11" xfId="0" applyNumberFormat="1" applyFont="1" applyBorder="1" applyAlignment="1">
      <alignment/>
    </xf>
    <xf numFmtId="0" fontId="9" fillId="0" borderId="0" xfId="0" applyFont="1" applyBorder="1" applyAlignment="1">
      <alignment/>
    </xf>
    <xf numFmtId="3" fontId="9" fillId="0" borderId="0" xfId="0" applyNumberFormat="1" applyFont="1" applyBorder="1" applyAlignment="1">
      <alignment/>
    </xf>
    <xf numFmtId="0" fontId="9" fillId="36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49" fillId="0" borderId="0" xfId="0" applyFont="1" applyBorder="1" applyAlignment="1">
      <alignment/>
    </xf>
    <xf numFmtId="0" fontId="17" fillId="36" borderId="0" xfId="0" applyFont="1" applyFill="1" applyBorder="1" applyAlignment="1">
      <alignment/>
    </xf>
    <xf numFmtId="0" fontId="8" fillId="0" borderId="11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/>
    </xf>
    <xf numFmtId="0" fontId="9" fillId="0" borderId="11" xfId="0" applyFont="1" applyFill="1" applyBorder="1" applyAlignment="1">
      <alignment horizontal="center"/>
    </xf>
    <xf numFmtId="3" fontId="8" fillId="36" borderId="11" xfId="0" applyNumberFormat="1" applyFont="1" applyFill="1" applyBorder="1" applyAlignment="1">
      <alignment horizontal="right"/>
    </xf>
    <xf numFmtId="0" fontId="9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 wrapText="1"/>
    </xf>
    <xf numFmtId="3" fontId="9" fillId="36" borderId="11" xfId="0" applyNumberFormat="1" applyFont="1" applyFill="1" applyBorder="1" applyAlignment="1">
      <alignment horizontal="right"/>
    </xf>
    <xf numFmtId="172" fontId="9" fillId="36" borderId="11" xfId="0" applyNumberFormat="1" applyFont="1" applyFill="1" applyBorder="1" applyAlignment="1">
      <alignment horizontal="right"/>
    </xf>
    <xf numFmtId="3" fontId="9" fillId="0" borderId="11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vertical="center" wrapText="1"/>
    </xf>
    <xf numFmtId="3" fontId="8" fillId="0" borderId="11" xfId="0" applyNumberFormat="1" applyFont="1" applyFill="1" applyBorder="1" applyAlignment="1">
      <alignment horizontal="right"/>
    </xf>
    <xf numFmtId="3" fontId="9" fillId="0" borderId="11" xfId="0" applyNumberFormat="1" applyFont="1" applyFill="1" applyBorder="1" applyAlignment="1">
      <alignment horizontal="right"/>
    </xf>
    <xf numFmtId="0" fontId="8" fillId="0" borderId="11" xfId="0" applyFont="1" applyBorder="1" applyAlignment="1">
      <alignment vertical="center" wrapText="1"/>
    </xf>
    <xf numFmtId="0" fontId="8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vertical="center" wrapText="1"/>
    </xf>
    <xf numFmtId="3" fontId="9" fillId="36" borderId="11" xfId="0" applyNumberFormat="1" applyFont="1" applyFill="1" applyBorder="1" applyAlignment="1">
      <alignment horizontal="center" vertical="center"/>
    </xf>
    <xf numFmtId="0" fontId="37" fillId="0" borderId="11" xfId="72" applyFont="1" applyFill="1" applyBorder="1" applyAlignment="1">
      <alignment vertical="center" wrapText="1"/>
      <protection/>
    </xf>
    <xf numFmtId="173" fontId="37" fillId="0" borderId="11" xfId="53" applyNumberFormat="1" applyFont="1" applyFill="1" applyBorder="1" applyAlignment="1">
      <alignment horizontal="center" vertical="center" wrapText="1"/>
    </xf>
    <xf numFmtId="0" fontId="28" fillId="0" borderId="11" xfId="72" applyFont="1" applyFill="1" applyBorder="1" applyAlignment="1">
      <alignment vertical="center" wrapText="1"/>
      <protection/>
    </xf>
    <xf numFmtId="173" fontId="28" fillId="0" borderId="11" xfId="53" applyNumberFormat="1" applyFont="1" applyFill="1" applyBorder="1" applyAlignment="1">
      <alignment horizontal="center" vertical="center" wrapText="1"/>
    </xf>
    <xf numFmtId="0" fontId="16" fillId="36" borderId="11" xfId="0" applyFont="1" applyFill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3" fontId="3" fillId="36" borderId="11" xfId="0" applyNumberFormat="1" applyFont="1" applyFill="1" applyBorder="1" applyAlignment="1">
      <alignment horizontal="center" vertical="center"/>
    </xf>
    <xf numFmtId="173" fontId="2" fillId="0" borderId="13" xfId="46" applyNumberFormat="1" applyFont="1" applyFill="1" applyBorder="1" applyAlignment="1">
      <alignment horizontal="center" vertical="center"/>
    </xf>
    <xf numFmtId="0" fontId="28" fillId="0" borderId="11" xfId="0" applyFont="1" applyBorder="1" applyAlignment="1">
      <alignment horizontal="center"/>
    </xf>
    <xf numFmtId="0" fontId="28" fillId="0" borderId="11" xfId="0" applyFont="1" applyBorder="1" applyAlignment="1">
      <alignment/>
    </xf>
    <xf numFmtId="0" fontId="28" fillId="0" borderId="11" xfId="0" applyFont="1" applyFill="1" applyBorder="1" applyAlignment="1">
      <alignment/>
    </xf>
    <xf numFmtId="179" fontId="28" fillId="0" borderId="11" xfId="0" applyNumberFormat="1" applyFont="1" applyFill="1" applyBorder="1" applyAlignment="1">
      <alignment/>
    </xf>
    <xf numFmtId="174" fontId="28" fillId="0" borderId="11" xfId="46" applyNumberFormat="1" applyFont="1" applyBorder="1" applyAlignment="1">
      <alignment/>
    </xf>
    <xf numFmtId="0" fontId="28" fillId="0" borderId="11" xfId="0" applyFont="1" applyBorder="1" applyAlignment="1">
      <alignment wrapText="1"/>
    </xf>
    <xf numFmtId="174" fontId="28" fillId="0" borderId="11" xfId="46" applyNumberFormat="1" applyFont="1" applyFill="1" applyBorder="1" applyAlignment="1">
      <alignment/>
    </xf>
    <xf numFmtId="0" fontId="37" fillId="0" borderId="11" xfId="0" applyFont="1" applyBorder="1" applyAlignment="1">
      <alignment horizontal="center"/>
    </xf>
    <xf numFmtId="0" fontId="37" fillId="0" borderId="11" xfId="0" applyFont="1" applyBorder="1" applyAlignment="1">
      <alignment/>
    </xf>
    <xf numFmtId="174" fontId="37" fillId="0" borderId="11" xfId="46" applyNumberFormat="1" applyFont="1" applyBorder="1" applyAlignment="1">
      <alignment/>
    </xf>
    <xf numFmtId="0" fontId="37" fillId="0" borderId="11" xfId="0" applyFont="1" applyBorder="1" applyAlignment="1" quotePrefix="1">
      <alignment horizontal="center"/>
    </xf>
    <xf numFmtId="173" fontId="37" fillId="0" borderId="11" xfId="46" applyNumberFormat="1" applyFont="1" applyBorder="1" applyAlignment="1">
      <alignment/>
    </xf>
    <xf numFmtId="0" fontId="37" fillId="0" borderId="11" xfId="0" applyFont="1" applyBorder="1" applyAlignment="1">
      <alignment wrapText="1"/>
    </xf>
    <xf numFmtId="43" fontId="37" fillId="0" borderId="11" xfId="46" applyNumberFormat="1" applyFont="1" applyBorder="1" applyAlignment="1">
      <alignment/>
    </xf>
    <xf numFmtId="174" fontId="37" fillId="0" borderId="11" xfId="51" applyNumberFormat="1" applyFont="1" applyFill="1" applyBorder="1" applyAlignment="1">
      <alignment/>
    </xf>
    <xf numFmtId="178" fontId="28" fillId="0" borderId="11" xfId="0" applyNumberFormat="1" applyFont="1" applyBorder="1" applyAlignment="1">
      <alignment horizontal="center"/>
    </xf>
    <xf numFmtId="0" fontId="28" fillId="36" borderId="11" xfId="0" applyFont="1" applyFill="1" applyBorder="1" applyAlignment="1">
      <alignment horizontal="center"/>
    </xf>
    <xf numFmtId="0" fontId="28" fillId="36" borderId="11" xfId="0" applyFont="1" applyFill="1" applyBorder="1" applyAlignment="1">
      <alignment wrapText="1"/>
    </xf>
    <xf numFmtId="174" fontId="28" fillId="36" borderId="11" xfId="46" applyNumberFormat="1" applyFont="1" applyFill="1" applyBorder="1" applyAlignment="1">
      <alignment/>
    </xf>
    <xf numFmtId="173" fontId="37" fillId="0" borderId="11" xfId="51" applyNumberFormat="1" applyFont="1" applyFill="1" applyBorder="1" applyAlignment="1">
      <alignment/>
    </xf>
    <xf numFmtId="0" fontId="37" fillId="36" borderId="11" xfId="0" applyFont="1" applyFill="1" applyBorder="1" applyAlignment="1">
      <alignment/>
    </xf>
    <xf numFmtId="0" fontId="28" fillId="36" borderId="11" xfId="0" applyFont="1" applyFill="1" applyBorder="1" applyAlignment="1">
      <alignment horizontal="center" vertical="center"/>
    </xf>
    <xf numFmtId="0" fontId="28" fillId="36" borderId="11" xfId="0" applyFont="1" applyFill="1" applyBorder="1" applyAlignment="1">
      <alignment horizontal="left" vertical="center" wrapText="1"/>
    </xf>
    <xf numFmtId="173" fontId="28" fillId="36" borderId="11" xfId="51" applyNumberFormat="1" applyFont="1" applyFill="1" applyBorder="1" applyAlignment="1">
      <alignment horizontal="right" vertical="center"/>
    </xf>
    <xf numFmtId="0" fontId="36" fillId="36" borderId="11" xfId="0" applyFont="1" applyFill="1" applyBorder="1" applyAlignment="1">
      <alignment horizontal="center" vertical="center"/>
    </xf>
    <xf numFmtId="0" fontId="37" fillId="0" borderId="11" xfId="0" applyFont="1" applyFill="1" applyBorder="1" applyAlignment="1" quotePrefix="1">
      <alignment horizontal="center"/>
    </xf>
    <xf numFmtId="0" fontId="37" fillId="0" borderId="11" xfId="0" applyFont="1" applyFill="1" applyBorder="1" applyAlignment="1">
      <alignment wrapText="1"/>
    </xf>
    <xf numFmtId="0" fontId="37" fillId="0" borderId="11" xfId="0" applyFont="1" applyFill="1" applyBorder="1" applyAlignment="1">
      <alignment horizontal="center"/>
    </xf>
    <xf numFmtId="173" fontId="37" fillId="0" borderId="11" xfId="46" applyNumberFormat="1" applyFont="1" applyFill="1" applyBorder="1" applyAlignment="1">
      <alignment horizontal="right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175" fontId="2" fillId="0" borderId="11" xfId="0" applyNumberFormat="1" applyFont="1" applyFill="1" applyBorder="1" applyAlignment="1">
      <alignment/>
    </xf>
    <xf numFmtId="0" fontId="3" fillId="38" borderId="11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175" fontId="3" fillId="0" borderId="11" xfId="0" applyNumberFormat="1" applyFont="1" applyFill="1" applyBorder="1" applyAlignment="1">
      <alignment/>
    </xf>
    <xf numFmtId="173" fontId="2" fillId="0" borderId="11" xfId="0" applyNumberFormat="1" applyFont="1" applyFill="1" applyBorder="1" applyAlignment="1">
      <alignment/>
    </xf>
    <xf numFmtId="173" fontId="3" fillId="0" borderId="11" xfId="0" applyNumberFormat="1" applyFont="1" applyFill="1" applyBorder="1" applyAlignment="1">
      <alignment/>
    </xf>
    <xf numFmtId="0" fontId="2" fillId="0" borderId="13" xfId="0" applyFont="1" applyFill="1" applyBorder="1" applyAlignment="1">
      <alignment horizontal="center"/>
    </xf>
    <xf numFmtId="3" fontId="2" fillId="0" borderId="13" xfId="0" applyNumberFormat="1" applyFont="1" applyFill="1" applyBorder="1" applyAlignment="1">
      <alignment/>
    </xf>
    <xf numFmtId="3" fontId="2" fillId="0" borderId="13" xfId="0" applyNumberFormat="1" applyFont="1" applyFill="1" applyBorder="1" applyAlignment="1">
      <alignment horizontal="right"/>
    </xf>
    <xf numFmtId="0" fontId="40" fillId="0" borderId="13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3" fontId="39" fillId="0" borderId="0" xfId="0" applyNumberFormat="1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3" fontId="39" fillId="0" borderId="0" xfId="0" applyNumberFormat="1" applyFont="1" applyFill="1" applyBorder="1" applyAlignment="1">
      <alignment/>
    </xf>
    <xf numFmtId="0" fontId="39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2" fontId="39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0" fillId="0" borderId="0" xfId="0" applyFont="1" applyFill="1" applyBorder="1" applyAlignment="1">
      <alignment/>
    </xf>
    <xf numFmtId="172" fontId="39" fillId="0" borderId="0" xfId="0" applyNumberFormat="1" applyFont="1" applyFill="1" applyBorder="1" applyAlignment="1">
      <alignment/>
    </xf>
    <xf numFmtId="3" fontId="3" fillId="36" borderId="0" xfId="0" applyNumberFormat="1" applyFont="1" applyFill="1" applyBorder="1" applyAlignment="1">
      <alignment/>
    </xf>
    <xf numFmtId="0" fontId="3" fillId="36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/>
    </xf>
    <xf numFmtId="0" fontId="3" fillId="36" borderId="0" xfId="0" applyFont="1" applyFill="1" applyBorder="1" applyAlignment="1">
      <alignment horizontal="center" vertical="center"/>
    </xf>
    <xf numFmtId="0" fontId="2" fillId="36" borderId="0" xfId="0" applyFont="1" applyFill="1" applyBorder="1" applyAlignment="1">
      <alignment/>
    </xf>
    <xf numFmtId="3" fontId="40" fillId="0" borderId="0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3" fontId="3" fillId="0" borderId="11" xfId="0" applyNumberFormat="1" applyFont="1" applyFill="1" applyBorder="1" applyAlignment="1">
      <alignment horizontal="center"/>
    </xf>
    <xf numFmtId="3" fontId="3" fillId="0" borderId="11" xfId="0" applyNumberFormat="1" applyFont="1" applyFill="1" applyBorder="1" applyAlignment="1">
      <alignment horizontal="right"/>
    </xf>
    <xf numFmtId="0" fontId="3" fillId="0" borderId="11" xfId="0" applyFont="1" applyFill="1" applyBorder="1" applyAlignment="1">
      <alignment horizontal="center"/>
    </xf>
    <xf numFmtId="173" fontId="3" fillId="0" borderId="11" xfId="46" applyNumberFormat="1" applyFont="1" applyFill="1" applyBorder="1" applyAlignment="1">
      <alignment horizontal="right"/>
    </xf>
    <xf numFmtId="0" fontId="2" fillId="0" borderId="11" xfId="0" applyFont="1" applyFill="1" applyBorder="1" applyAlignment="1">
      <alignment/>
    </xf>
    <xf numFmtId="4" fontId="3" fillId="36" borderId="11" xfId="0" applyNumberFormat="1" applyFont="1" applyFill="1" applyBorder="1" applyAlignment="1">
      <alignment horizontal="right"/>
    </xf>
    <xf numFmtId="4" fontId="3" fillId="0" borderId="11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3" fontId="3" fillId="38" borderId="11" xfId="0" applyNumberFormat="1" applyFont="1" applyFill="1" applyBorder="1" applyAlignment="1">
      <alignment horizontal="center" vertical="center"/>
    </xf>
    <xf numFmtId="173" fontId="9" fillId="0" borderId="11" xfId="46" applyNumberFormat="1" applyFont="1" applyFill="1" applyBorder="1" applyAlignment="1">
      <alignment horizontal="right" vertical="center" shrinkToFit="1"/>
    </xf>
    <xf numFmtId="0" fontId="3" fillId="36" borderId="11" xfId="0" applyFont="1" applyFill="1" applyBorder="1" applyAlignment="1" quotePrefix="1">
      <alignment horizontal="center" vertical="center"/>
    </xf>
    <xf numFmtId="3" fontId="3" fillId="36" borderId="11" xfId="0" applyNumberFormat="1" applyFont="1" applyFill="1" applyBorder="1" applyAlignment="1">
      <alignment horizontal="right" vertical="center"/>
    </xf>
    <xf numFmtId="173" fontId="3" fillId="38" borderId="11" xfId="51" applyNumberFormat="1" applyFont="1" applyFill="1" applyBorder="1" applyAlignment="1">
      <alignment horizontal="right" vertical="center"/>
    </xf>
    <xf numFmtId="0" fontId="3" fillId="36" borderId="11" xfId="0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right"/>
    </xf>
    <xf numFmtId="4" fontId="3" fillId="36" borderId="11" xfId="0" applyNumberFormat="1" applyFont="1" applyFill="1" applyBorder="1" applyAlignment="1">
      <alignment horizontal="center"/>
    </xf>
    <xf numFmtId="0" fontId="2" fillId="36" borderId="11" xfId="70" applyFont="1" applyFill="1" applyBorder="1" applyAlignment="1">
      <alignment horizontal="center" vertical="center"/>
      <protection/>
    </xf>
    <xf numFmtId="172" fontId="3" fillId="38" borderId="11" xfId="0" applyNumberFormat="1" applyFont="1" applyFill="1" applyBorder="1" applyAlignment="1">
      <alignment horizontal="right"/>
    </xf>
    <xf numFmtId="172" fontId="3" fillId="36" borderId="11" xfId="0" applyNumberFormat="1" applyFont="1" applyFill="1" applyBorder="1" applyAlignment="1">
      <alignment horizontal="right" vertical="center"/>
    </xf>
    <xf numFmtId="4" fontId="2" fillId="36" borderId="11" xfId="0" applyNumberFormat="1" applyFont="1" applyFill="1" applyBorder="1" applyAlignment="1">
      <alignment horizontal="center"/>
    </xf>
    <xf numFmtId="0" fontId="3" fillId="36" borderId="11" xfId="70" applyFont="1" applyFill="1" applyBorder="1" applyAlignment="1">
      <alignment horizontal="center" vertical="center"/>
      <protection/>
    </xf>
    <xf numFmtId="173" fontId="3" fillId="36" borderId="11" xfId="51" applyNumberFormat="1" applyFont="1" applyFill="1" applyBorder="1" applyAlignment="1">
      <alignment horizontal="center" vertical="center"/>
    </xf>
    <xf numFmtId="0" fontId="3" fillId="38" borderId="11" xfId="0" applyFont="1" applyFill="1" applyBorder="1" applyAlignment="1" quotePrefix="1">
      <alignment horizontal="center"/>
    </xf>
    <xf numFmtId="0" fontId="3" fillId="0" borderId="11" xfId="0" applyFont="1" applyBorder="1" applyAlignment="1">
      <alignment horizontal="center" vertical="center"/>
    </xf>
    <xf numFmtId="175" fontId="2" fillId="0" borderId="11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 horizontal="center" vertical="center" wrapText="1"/>
    </xf>
    <xf numFmtId="3" fontId="40" fillId="0" borderId="0" xfId="0" applyNumberFormat="1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20" fillId="38" borderId="0" xfId="0" applyFont="1" applyFill="1" applyAlignment="1">
      <alignment/>
    </xf>
    <xf numFmtId="0" fontId="9" fillId="38" borderId="0" xfId="0" applyFont="1" applyFill="1" applyAlignment="1">
      <alignment/>
    </xf>
    <xf numFmtId="0" fontId="28" fillId="0" borderId="11" xfId="77" applyFont="1" applyFill="1" applyBorder="1" applyAlignment="1">
      <alignment horizontal="center"/>
      <protection/>
    </xf>
    <xf numFmtId="49" fontId="28" fillId="0" borderId="11" xfId="77" applyNumberFormat="1" applyFont="1" applyFill="1" applyBorder="1" applyAlignment="1">
      <alignment wrapText="1"/>
      <protection/>
    </xf>
    <xf numFmtId="49" fontId="28" fillId="0" borderId="11" xfId="77" applyNumberFormat="1" applyFont="1" applyFill="1" applyBorder="1" applyAlignment="1" quotePrefix="1">
      <alignment wrapText="1"/>
      <protection/>
    </xf>
    <xf numFmtId="173" fontId="28" fillId="0" borderId="11" xfId="46" applyNumberFormat="1" applyFont="1" applyFill="1" applyBorder="1" applyAlignment="1">
      <alignment horizontal="center"/>
    </xf>
    <xf numFmtId="0" fontId="37" fillId="0" borderId="11" xfId="77" applyFont="1" applyFill="1" applyBorder="1" applyAlignment="1">
      <alignment horizontal="center"/>
      <protection/>
    </xf>
    <xf numFmtId="49" fontId="37" fillId="0" borderId="11" xfId="77" applyNumberFormat="1" applyFont="1" applyFill="1" applyBorder="1" applyAlignment="1" quotePrefix="1">
      <alignment wrapText="1"/>
      <protection/>
    </xf>
    <xf numFmtId="49" fontId="37" fillId="0" borderId="11" xfId="77" applyNumberFormat="1" applyFont="1" applyFill="1" applyBorder="1" applyAlignment="1" quotePrefix="1">
      <alignment vertical="center" wrapText="1"/>
      <protection/>
    </xf>
    <xf numFmtId="173" fontId="37" fillId="0" borderId="11" xfId="46" applyNumberFormat="1" applyFont="1" applyBorder="1" applyAlignment="1">
      <alignment vertical="center"/>
    </xf>
    <xf numFmtId="49" fontId="37" fillId="0" borderId="11" xfId="77" applyNumberFormat="1" applyFont="1" applyFill="1" applyBorder="1" applyAlignment="1" quotePrefix="1">
      <alignment horizontal="left" wrapText="1"/>
      <protection/>
    </xf>
    <xf numFmtId="49" fontId="37" fillId="0" borderId="11" xfId="77" applyNumberFormat="1" applyFont="1" applyFill="1" applyBorder="1" applyAlignment="1" quotePrefix="1">
      <alignment horizontal="center" vertical="center" wrapText="1"/>
      <protection/>
    </xf>
    <xf numFmtId="0" fontId="28" fillId="36" borderId="11" xfId="77" applyFont="1" applyFill="1" applyBorder="1" applyAlignment="1">
      <alignment horizontal="center"/>
      <protection/>
    </xf>
    <xf numFmtId="49" fontId="28" fillId="36" borderId="11" xfId="77" applyNumberFormat="1" applyFont="1" applyFill="1" applyBorder="1" applyAlignment="1">
      <alignment wrapText="1"/>
      <protection/>
    </xf>
    <xf numFmtId="0" fontId="37" fillId="36" borderId="11" xfId="77" applyFont="1" applyFill="1" applyBorder="1" applyAlignment="1">
      <alignment horizontal="center"/>
      <protection/>
    </xf>
    <xf numFmtId="49" fontId="37" fillId="36" borderId="11" xfId="77" applyNumberFormat="1" applyFont="1" applyFill="1" applyBorder="1" applyAlignment="1" quotePrefix="1">
      <alignment wrapText="1"/>
      <protection/>
    </xf>
    <xf numFmtId="173" fontId="37" fillId="0" borderId="11" xfId="46" applyNumberFormat="1" applyFont="1" applyBorder="1" applyAlignment="1">
      <alignment horizontal="center"/>
    </xf>
    <xf numFmtId="49" fontId="37" fillId="0" borderId="11" xfId="77" applyNumberFormat="1" applyFont="1" applyFill="1" applyBorder="1" applyAlignment="1">
      <alignment wrapText="1"/>
      <protection/>
    </xf>
    <xf numFmtId="174" fontId="37" fillId="0" borderId="11" xfId="51" applyNumberFormat="1" applyFont="1" applyFill="1" applyBorder="1" applyAlignment="1">
      <alignment horizontal="right"/>
    </xf>
    <xf numFmtId="49" fontId="37" fillId="36" borderId="11" xfId="77" applyNumberFormat="1" applyFont="1" applyFill="1" applyBorder="1" applyAlignment="1">
      <alignment wrapText="1"/>
      <protection/>
    </xf>
    <xf numFmtId="49" fontId="37" fillId="0" borderId="11" xfId="77" applyNumberFormat="1" applyFont="1" applyFill="1" applyBorder="1" applyAlignment="1">
      <alignment horizontal="left" wrapText="1"/>
      <protection/>
    </xf>
    <xf numFmtId="49" fontId="37" fillId="0" borderId="11" xfId="77" applyNumberFormat="1" applyFont="1" applyFill="1" applyBorder="1" applyAlignment="1">
      <alignment horizontal="center" wrapText="1"/>
      <protection/>
    </xf>
    <xf numFmtId="173" fontId="28" fillId="0" borderId="11" xfId="46" applyNumberFormat="1" applyFont="1" applyBorder="1" applyAlignment="1">
      <alignment horizontal="center"/>
    </xf>
    <xf numFmtId="173" fontId="28" fillId="0" borderId="11" xfId="46" applyNumberFormat="1" applyFont="1" applyFill="1" applyBorder="1" applyAlignment="1">
      <alignment vertical="center"/>
    </xf>
    <xf numFmtId="49" fontId="37" fillId="36" borderId="11" xfId="77" applyNumberFormat="1" applyFont="1" applyFill="1" applyBorder="1" applyAlignment="1">
      <alignment horizontal="left" vertical="center" wrapText="1"/>
      <protection/>
    </xf>
    <xf numFmtId="173" fontId="28" fillId="38" borderId="11" xfId="46" applyNumberFormat="1" applyFont="1" applyFill="1" applyBorder="1" applyAlignment="1">
      <alignment horizontal="right"/>
    </xf>
    <xf numFmtId="173" fontId="28" fillId="0" borderId="11" xfId="46" applyNumberFormat="1" applyFont="1" applyFill="1" applyBorder="1" applyAlignment="1">
      <alignment horizontal="right"/>
    </xf>
    <xf numFmtId="0" fontId="8" fillId="0" borderId="11" xfId="78" applyFont="1" applyFill="1" applyBorder="1" applyAlignment="1">
      <alignment horizontal="center"/>
      <protection/>
    </xf>
    <xf numFmtId="0" fontId="8" fillId="0" borderId="11" xfId="78" applyFont="1" applyFill="1" applyBorder="1" applyAlignment="1">
      <alignment horizontal="left" wrapText="1"/>
      <protection/>
    </xf>
    <xf numFmtId="0" fontId="9" fillId="0" borderId="11" xfId="78" applyFont="1" applyFill="1" applyBorder="1" applyAlignment="1">
      <alignment horizontal="center"/>
      <protection/>
    </xf>
    <xf numFmtId="1" fontId="9" fillId="0" borderId="11" xfId="78" applyNumberFormat="1" applyFont="1" applyFill="1" applyBorder="1" applyAlignment="1">
      <alignment horizontal="center"/>
      <protection/>
    </xf>
    <xf numFmtId="175" fontId="9" fillId="0" borderId="11" xfId="78" applyNumberFormat="1" applyFont="1" applyFill="1" applyBorder="1" applyAlignment="1">
      <alignment horizontal="center"/>
      <protection/>
    </xf>
    <xf numFmtId="0" fontId="9" fillId="36" borderId="11" xfId="78" applyFont="1" applyFill="1" applyBorder="1" applyAlignment="1">
      <alignment horizontal="center"/>
      <protection/>
    </xf>
    <xf numFmtId="0" fontId="9" fillId="0" borderId="11" xfId="76" applyFont="1" applyFill="1" applyBorder="1" applyAlignment="1">
      <alignment horizontal="center"/>
      <protection/>
    </xf>
    <xf numFmtId="3" fontId="9" fillId="0" borderId="11" xfId="76" applyNumberFormat="1" applyFont="1" applyFill="1" applyBorder="1" applyAlignment="1">
      <alignment horizontal="center"/>
      <protection/>
    </xf>
    <xf numFmtId="2" fontId="9" fillId="0" borderId="11" xfId="78" applyNumberFormat="1" applyFont="1" applyFill="1" applyBorder="1" applyAlignment="1">
      <alignment horizontal="center"/>
      <protection/>
    </xf>
    <xf numFmtId="172" fontId="9" fillId="36" borderId="11" xfId="76" applyNumberFormat="1" applyFont="1" applyFill="1" applyBorder="1" applyAlignment="1">
      <alignment horizontal="center"/>
      <protection/>
    </xf>
    <xf numFmtId="172" fontId="9" fillId="0" borderId="11" xfId="76" applyNumberFormat="1" applyFont="1" applyFill="1" applyBorder="1" applyAlignment="1">
      <alignment horizontal="center"/>
      <protection/>
    </xf>
    <xf numFmtId="172" fontId="9" fillId="0" borderId="11" xfId="0" applyNumberFormat="1" applyFont="1" applyFill="1" applyBorder="1" applyAlignment="1">
      <alignment horizontal="center"/>
    </xf>
    <xf numFmtId="4" fontId="9" fillId="0" borderId="11" xfId="78" applyNumberFormat="1" applyFont="1" applyFill="1" applyBorder="1" applyAlignment="1">
      <alignment horizontal="center"/>
      <protection/>
    </xf>
    <xf numFmtId="0" fontId="9" fillId="0" borderId="11" xfId="78" applyFont="1" applyFill="1" applyBorder="1">
      <alignment/>
      <protection/>
    </xf>
    <xf numFmtId="173" fontId="9" fillId="0" borderId="11" xfId="78" applyNumberFormat="1" applyFont="1" applyFill="1" applyBorder="1" applyAlignment="1">
      <alignment horizontal="center"/>
      <protection/>
    </xf>
    <xf numFmtId="0" fontId="9" fillId="0" borderId="11" xfId="78" applyFont="1" applyFill="1" applyBorder="1" applyAlignment="1">
      <alignment horizontal="center" wrapText="1"/>
      <protection/>
    </xf>
    <xf numFmtId="4" fontId="9" fillId="0" borderId="11" xfId="73" applyNumberFormat="1" applyFont="1" applyFill="1" applyBorder="1" applyAlignment="1">
      <alignment horizontal="center"/>
      <protection/>
    </xf>
    <xf numFmtId="0" fontId="8" fillId="0" borderId="11" xfId="78" applyFont="1" applyFill="1" applyBorder="1" applyAlignment="1">
      <alignment horizontal="center" vertical="center" wrapText="1"/>
      <protection/>
    </xf>
    <xf numFmtId="0" fontId="9" fillId="0" borderId="11" xfId="78" applyFont="1" applyFill="1" applyBorder="1" applyAlignment="1">
      <alignment horizontal="center" vertical="center" wrapText="1"/>
      <protection/>
    </xf>
    <xf numFmtId="0" fontId="18" fillId="0" borderId="11" xfId="78" applyFont="1" applyFill="1" applyBorder="1" applyAlignment="1">
      <alignment horizontal="center" vertical="center"/>
      <protection/>
    </xf>
    <xf numFmtId="175" fontId="3" fillId="0" borderId="14" xfId="0" applyNumberFormat="1" applyFont="1" applyFill="1" applyBorder="1" applyAlignment="1" applyProtection="1">
      <alignment horizontal="right" vertical="center" wrapText="1"/>
      <protection/>
    </xf>
    <xf numFmtId="49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right" vertical="center" wrapText="1"/>
      <protection/>
    </xf>
    <xf numFmtId="49" fontId="38" fillId="0" borderId="11" xfId="0" applyNumberFormat="1" applyFont="1" applyFill="1" applyBorder="1" applyAlignment="1" applyProtection="1">
      <alignment horizontal="center" vertical="center" wrapText="1"/>
      <protection/>
    </xf>
    <xf numFmtId="0" fontId="38" fillId="0" borderId="11" xfId="0" applyFont="1" applyFill="1" applyBorder="1" applyAlignment="1" applyProtection="1">
      <alignment horizontal="center" vertical="center" wrapText="1"/>
      <protection/>
    </xf>
    <xf numFmtId="0" fontId="38" fillId="0" borderId="11" xfId="0" applyFont="1" applyFill="1" applyBorder="1" applyAlignment="1" applyProtection="1">
      <alignment horizontal="right" vertical="center" wrapText="1"/>
      <protection/>
    </xf>
    <xf numFmtId="173" fontId="3" fillId="0" borderId="11" xfId="46" applyNumberFormat="1" applyFont="1" applyFill="1" applyBorder="1" applyAlignment="1" applyProtection="1">
      <alignment horizontal="right" vertical="center" wrapText="1"/>
      <protection/>
    </xf>
    <xf numFmtId="173" fontId="3" fillId="38" borderId="11" xfId="0" applyNumberFormat="1" applyFont="1" applyFill="1" applyBorder="1" applyAlignment="1" applyProtection="1">
      <alignment horizontal="right" vertical="center" wrapText="1"/>
      <protection/>
    </xf>
    <xf numFmtId="2" fontId="3" fillId="0" borderId="11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 applyProtection="1">
      <alignment horizontal="right" vertical="center" wrapText="1"/>
      <protection/>
    </xf>
    <xf numFmtId="0" fontId="3" fillId="36" borderId="11" xfId="0" applyFont="1" applyFill="1" applyBorder="1" applyAlignment="1" applyProtection="1">
      <alignment horizontal="center" vertical="center" wrapText="1"/>
      <protection/>
    </xf>
    <xf numFmtId="174" fontId="3" fillId="0" borderId="11" xfId="0" applyNumberFormat="1" applyFont="1" applyFill="1" applyBorder="1" applyAlignment="1" applyProtection="1">
      <alignment horizontal="right" vertical="center" wrapText="1"/>
      <protection/>
    </xf>
    <xf numFmtId="174" fontId="3" fillId="0" borderId="11" xfId="46" applyNumberFormat="1" applyFont="1" applyFill="1" applyBorder="1" applyAlignment="1" applyProtection="1">
      <alignment horizontal="right" vertical="center" wrapText="1"/>
      <protection/>
    </xf>
    <xf numFmtId="0" fontId="16" fillId="0" borderId="11" xfId="0" applyFont="1" applyFill="1" applyBorder="1" applyAlignment="1" applyProtection="1">
      <alignment horizontal="center" vertical="center" wrapText="1"/>
      <protection/>
    </xf>
    <xf numFmtId="3" fontId="3" fillId="0" borderId="11" xfId="0" applyNumberFormat="1" applyFont="1" applyFill="1" applyBorder="1" applyAlignment="1" applyProtection="1">
      <alignment horizontal="right" vertical="center" wrapText="1"/>
      <protection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49" fontId="7" fillId="0" borderId="11" xfId="0" applyNumberFormat="1" applyFont="1" applyFill="1" applyBorder="1" applyAlignment="1" applyProtection="1" quotePrefix="1">
      <alignment horizontal="center" vertical="center" wrapText="1"/>
      <protection/>
    </xf>
    <xf numFmtId="0" fontId="16" fillId="36" borderId="11" xfId="0" applyFont="1" applyFill="1" applyBorder="1" applyAlignment="1">
      <alignment horizontal="center"/>
    </xf>
    <xf numFmtId="0" fontId="2" fillId="0" borderId="11" xfId="0" applyFont="1" applyBorder="1" applyAlignment="1">
      <alignment vertical="center" wrapText="1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1" fontId="3" fillId="0" borderId="11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3" fillId="0" borderId="11" xfId="0" applyFont="1" applyBorder="1" applyAlignment="1" quotePrefix="1">
      <alignment horizontal="center" vertical="center"/>
    </xf>
    <xf numFmtId="0" fontId="3" fillId="0" borderId="11" xfId="0" applyFont="1" applyBorder="1" applyAlignment="1" quotePrefix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 indent="1"/>
    </xf>
    <xf numFmtId="0" fontId="3" fillId="0" borderId="11" xfId="0" applyFont="1" applyBorder="1" applyAlignment="1" quotePrefix="1">
      <alignment horizontal="left" vertical="center" wrapText="1" indent="1"/>
    </xf>
    <xf numFmtId="173" fontId="2" fillId="0" borderId="11" xfId="46" applyNumberFormat="1" applyFont="1" applyFill="1" applyBorder="1" applyAlignment="1">
      <alignment horizontal="right" vertical="center"/>
    </xf>
    <xf numFmtId="3" fontId="3" fillId="38" borderId="11" xfId="0" applyNumberFormat="1" applyFont="1" applyFill="1" applyBorder="1" applyAlignment="1">
      <alignment horizontal="right"/>
    </xf>
    <xf numFmtId="173" fontId="3" fillId="38" borderId="11" xfId="46" applyNumberFormat="1" applyFont="1" applyFill="1" applyBorder="1" applyAlignment="1">
      <alignment horizontal="right"/>
    </xf>
    <xf numFmtId="0" fontId="3" fillId="38" borderId="11" xfId="0" applyFont="1" applyFill="1" applyBorder="1" applyAlignment="1">
      <alignment horizontal="right"/>
    </xf>
    <xf numFmtId="174" fontId="3" fillId="36" borderId="11" xfId="0" applyNumberFormat="1" applyFont="1" applyFill="1" applyBorder="1" applyAlignment="1">
      <alignment horizontal="right"/>
    </xf>
    <xf numFmtId="174" fontId="28" fillId="0" borderId="11" xfId="46" applyNumberFormat="1" applyFont="1" applyFill="1" applyBorder="1" applyAlignment="1">
      <alignment horizontal="right"/>
    </xf>
    <xf numFmtId="43" fontId="28" fillId="0" borderId="11" xfId="46" applyNumberFormat="1" applyFont="1" applyFill="1" applyBorder="1" applyAlignment="1">
      <alignment horizontal="right"/>
    </xf>
    <xf numFmtId="173" fontId="37" fillId="38" borderId="11" xfId="46" applyNumberFormat="1" applyFont="1" applyFill="1" applyBorder="1" applyAlignment="1">
      <alignment horizontal="right"/>
    </xf>
    <xf numFmtId="43" fontId="37" fillId="0" borderId="11" xfId="51" applyNumberFormat="1" applyFont="1" applyFill="1" applyBorder="1" applyAlignment="1">
      <alignment horizontal="right"/>
    </xf>
    <xf numFmtId="173" fontId="37" fillId="0" borderId="11" xfId="51" applyNumberFormat="1" applyFont="1" applyFill="1" applyBorder="1" applyAlignment="1">
      <alignment horizontal="right"/>
    </xf>
    <xf numFmtId="43" fontId="37" fillId="38" borderId="11" xfId="51" applyNumberFormat="1" applyFont="1" applyFill="1" applyBorder="1" applyAlignment="1">
      <alignment horizontal="right"/>
    </xf>
    <xf numFmtId="43" fontId="37" fillId="0" borderId="11" xfId="46" applyNumberFormat="1" applyFont="1" applyFill="1" applyBorder="1" applyAlignment="1">
      <alignment horizontal="right"/>
    </xf>
    <xf numFmtId="174" fontId="28" fillId="36" borderId="11" xfId="46" applyNumberFormat="1" applyFont="1" applyFill="1" applyBorder="1" applyAlignment="1">
      <alignment horizontal="right"/>
    </xf>
    <xf numFmtId="173" fontId="28" fillId="0" borderId="11" xfId="51" applyNumberFormat="1" applyFont="1" applyFill="1" applyBorder="1" applyAlignment="1">
      <alignment horizontal="right"/>
    </xf>
    <xf numFmtId="174" fontId="28" fillId="0" borderId="11" xfId="51" applyNumberFormat="1" applyFont="1" applyFill="1" applyBorder="1" applyAlignment="1">
      <alignment horizontal="right"/>
    </xf>
    <xf numFmtId="174" fontId="28" fillId="0" borderId="11" xfId="51" applyNumberFormat="1" applyFont="1" applyBorder="1" applyAlignment="1">
      <alignment horizontal="right"/>
    </xf>
    <xf numFmtId="0" fontId="36" fillId="0" borderId="11" xfId="0" applyFont="1" applyFill="1" applyBorder="1" applyAlignment="1">
      <alignment horizontal="right"/>
    </xf>
    <xf numFmtId="43" fontId="37" fillId="38" borderId="11" xfId="46" applyNumberFormat="1" applyFont="1" applyFill="1" applyBorder="1" applyAlignment="1">
      <alignment horizontal="right"/>
    </xf>
    <xf numFmtId="174" fontId="28" fillId="36" borderId="11" xfId="51" applyNumberFormat="1" applyFont="1" applyFill="1" applyBorder="1" applyAlignment="1">
      <alignment horizontal="right" vertical="center"/>
    </xf>
    <xf numFmtId="174" fontId="37" fillId="0" borderId="11" xfId="51" applyNumberFormat="1" applyFont="1" applyBorder="1" applyAlignment="1">
      <alignment horizontal="right" vertical="center"/>
    </xf>
    <xf numFmtId="0" fontId="36" fillId="36" borderId="11" xfId="0" applyFont="1" applyFill="1" applyBorder="1" applyAlignment="1">
      <alignment horizontal="right" vertical="center"/>
    </xf>
    <xf numFmtId="0" fontId="34" fillId="0" borderId="11" xfId="0" applyFont="1" applyFill="1" applyBorder="1" applyAlignment="1">
      <alignment horizontal="right"/>
    </xf>
    <xf numFmtId="174" fontId="37" fillId="38" borderId="11" xfId="46" applyNumberFormat="1" applyFont="1" applyFill="1" applyBorder="1" applyAlignment="1">
      <alignment horizontal="right"/>
    </xf>
    <xf numFmtId="173" fontId="28" fillId="0" borderId="11" xfId="46" applyNumberFormat="1" applyFont="1" applyBorder="1" applyAlignment="1">
      <alignment horizontal="right" vertical="center"/>
    </xf>
    <xf numFmtId="173" fontId="28" fillId="38" borderId="11" xfId="46" applyNumberFormat="1" applyFont="1" applyFill="1" applyBorder="1" applyAlignment="1">
      <alignment horizontal="right" vertical="center"/>
    </xf>
    <xf numFmtId="174" fontId="28" fillId="0" borderId="11" xfId="46" applyNumberFormat="1" applyFont="1" applyBorder="1" applyAlignment="1">
      <alignment horizontal="right" vertical="center"/>
    </xf>
    <xf numFmtId="173" fontId="37" fillId="0" borderId="11" xfId="46" applyNumberFormat="1" applyFont="1" applyBorder="1" applyAlignment="1">
      <alignment horizontal="right" vertical="center"/>
    </xf>
    <xf numFmtId="173" fontId="37" fillId="38" borderId="11" xfId="46" applyNumberFormat="1" applyFont="1" applyFill="1" applyBorder="1" applyAlignment="1">
      <alignment horizontal="right" vertical="center"/>
    </xf>
    <xf numFmtId="173" fontId="37" fillId="0" borderId="11" xfId="51" applyNumberFormat="1" applyFont="1" applyFill="1" applyBorder="1" applyAlignment="1">
      <alignment horizontal="right" vertical="center"/>
    </xf>
    <xf numFmtId="174" fontId="37" fillId="0" borderId="11" xfId="46" applyNumberFormat="1" applyFont="1" applyBorder="1" applyAlignment="1">
      <alignment horizontal="right" vertical="center"/>
    </xf>
    <xf numFmtId="173" fontId="28" fillId="0" borderId="11" xfId="46" applyNumberFormat="1" applyFont="1" applyFill="1" applyBorder="1" applyAlignment="1">
      <alignment horizontal="right" vertical="center"/>
    </xf>
    <xf numFmtId="43" fontId="37" fillId="0" borderId="11" xfId="46" applyNumberFormat="1" applyFont="1" applyBorder="1" applyAlignment="1">
      <alignment horizontal="right" vertical="center"/>
    </xf>
    <xf numFmtId="173" fontId="37" fillId="0" borderId="11" xfId="46" applyNumberFormat="1" applyFont="1" applyBorder="1" applyAlignment="1">
      <alignment horizontal="right"/>
    </xf>
    <xf numFmtId="173" fontId="28" fillId="0" borderId="11" xfId="46" applyNumberFormat="1" applyFont="1" applyBorder="1" applyAlignment="1">
      <alignment horizontal="right"/>
    </xf>
    <xf numFmtId="0" fontId="37" fillId="0" borderId="11" xfId="77" applyFont="1" applyFill="1" applyBorder="1" applyAlignment="1">
      <alignment horizontal="right"/>
      <protection/>
    </xf>
    <xf numFmtId="174" fontId="37" fillId="0" borderId="11" xfId="51" applyNumberFormat="1" applyFont="1" applyFill="1" applyBorder="1" applyAlignment="1">
      <alignment/>
    </xf>
    <xf numFmtId="0" fontId="22" fillId="0" borderId="0" xfId="0" applyFont="1" applyFill="1" applyAlignment="1">
      <alignment/>
    </xf>
    <xf numFmtId="173" fontId="28" fillId="0" borderId="11" xfId="46" applyNumberFormat="1" applyFont="1" applyFill="1" applyBorder="1" applyAlignment="1">
      <alignment/>
    </xf>
    <xf numFmtId="0" fontId="23" fillId="0" borderId="0" xfId="0" applyFont="1" applyFill="1" applyAlignment="1">
      <alignment/>
    </xf>
    <xf numFmtId="0" fontId="16" fillId="36" borderId="11" xfId="0" applyFont="1" applyFill="1" applyBorder="1" applyAlignment="1">
      <alignment horizontal="right"/>
    </xf>
    <xf numFmtId="0" fontId="18" fillId="36" borderId="11" xfId="0" applyFont="1" applyFill="1" applyBorder="1" applyAlignment="1">
      <alignment horizontal="right"/>
    </xf>
    <xf numFmtId="0" fontId="19" fillId="0" borderId="0" xfId="0" applyFont="1" applyFill="1" applyAlignment="1">
      <alignment horizontal="center"/>
    </xf>
    <xf numFmtId="0" fontId="3" fillId="0" borderId="11" xfId="0" applyFont="1" applyFill="1" applyBorder="1" applyAlignment="1">
      <alignment horizontal="justify" wrapText="1"/>
    </xf>
    <xf numFmtId="0" fontId="19" fillId="0" borderId="0" xfId="0" applyFont="1" applyFill="1" applyAlignment="1">
      <alignment horizontal="justify"/>
    </xf>
    <xf numFmtId="0" fontId="2" fillId="0" borderId="11" xfId="0" applyFont="1" applyFill="1" applyBorder="1" applyAlignment="1">
      <alignment horizontal="justify" vertical="center"/>
    </xf>
    <xf numFmtId="0" fontId="3" fillId="0" borderId="11" xfId="0" applyFont="1" applyFill="1" applyBorder="1" applyAlignment="1">
      <alignment horizontal="justify"/>
    </xf>
    <xf numFmtId="0" fontId="2" fillId="0" borderId="11" xfId="0" applyFont="1" applyFill="1" applyBorder="1" applyAlignment="1">
      <alignment horizontal="justify" wrapText="1"/>
    </xf>
    <xf numFmtId="0" fontId="3" fillId="36" borderId="11" xfId="0" applyFont="1" applyFill="1" applyBorder="1" applyAlignment="1">
      <alignment horizontal="justify" wrapText="1"/>
    </xf>
    <xf numFmtId="0" fontId="3" fillId="0" borderId="11" xfId="0" applyFont="1" applyFill="1" applyBorder="1" applyAlignment="1">
      <alignment horizontal="justify" vertical="center" wrapText="1"/>
    </xf>
    <xf numFmtId="2" fontId="3" fillId="0" borderId="11" xfId="0" applyNumberFormat="1" applyFont="1" applyFill="1" applyBorder="1" applyAlignment="1">
      <alignment horizontal="justify" wrapText="1"/>
    </xf>
    <xf numFmtId="0" fontId="3" fillId="36" borderId="11" xfId="0" applyFont="1" applyFill="1" applyBorder="1" applyAlignment="1" quotePrefix="1">
      <alignment horizontal="justify" wrapText="1"/>
    </xf>
    <xf numFmtId="0" fontId="3" fillId="36" borderId="11" xfId="0" applyFont="1" applyFill="1" applyBorder="1" applyAlignment="1">
      <alignment horizontal="justify" vertical="center" wrapText="1"/>
    </xf>
    <xf numFmtId="2" fontId="2" fillId="36" borderId="11" xfId="70" applyNumberFormat="1" applyFont="1" applyFill="1" applyBorder="1" applyAlignment="1">
      <alignment horizontal="justify" vertical="center" wrapText="1"/>
      <protection/>
    </xf>
    <xf numFmtId="0" fontId="2" fillId="36" borderId="11" xfId="0" applyFont="1" applyFill="1" applyBorder="1" applyAlignment="1">
      <alignment horizontal="justify" wrapText="1"/>
    </xf>
    <xf numFmtId="2" fontId="3" fillId="36" borderId="11" xfId="70" applyNumberFormat="1" applyFont="1" applyFill="1" applyBorder="1" applyAlignment="1">
      <alignment horizontal="justify" vertical="center" wrapText="1"/>
      <protection/>
    </xf>
    <xf numFmtId="2" fontId="3" fillId="36" borderId="11" xfId="70" applyNumberFormat="1" applyFont="1" applyFill="1" applyBorder="1" applyAlignment="1" quotePrefix="1">
      <alignment horizontal="justify" vertical="center" wrapText="1"/>
      <protection/>
    </xf>
    <xf numFmtId="0" fontId="2" fillId="0" borderId="13" xfId="0" applyFont="1" applyFill="1" applyBorder="1" applyAlignment="1">
      <alignment horizontal="justify" wrapText="1"/>
    </xf>
    <xf numFmtId="0" fontId="38" fillId="0" borderId="12" xfId="0" applyFont="1" applyFill="1" applyBorder="1" applyAlignment="1">
      <alignment horizontal="justify" wrapText="1"/>
    </xf>
    <xf numFmtId="0" fontId="2" fillId="0" borderId="12" xfId="0" applyFont="1" applyFill="1" applyBorder="1" applyAlignment="1">
      <alignment horizontal="justify" wrapText="1"/>
    </xf>
    <xf numFmtId="0" fontId="3" fillId="0" borderId="12" xfId="0" applyFont="1" applyFill="1" applyBorder="1" applyAlignment="1">
      <alignment horizontal="justify" wrapText="1"/>
    </xf>
    <xf numFmtId="0" fontId="3" fillId="0" borderId="12" xfId="0" applyFont="1" applyFill="1" applyBorder="1" applyAlignment="1" quotePrefix="1">
      <alignment horizontal="justify" wrapText="1"/>
    </xf>
    <xf numFmtId="0" fontId="3" fillId="0" borderId="12" xfId="0" applyFont="1" applyFill="1" applyBorder="1" applyAlignment="1">
      <alignment horizontal="justify" vertical="center" wrapText="1"/>
    </xf>
    <xf numFmtId="0" fontId="5" fillId="0" borderId="0" xfId="0" applyFont="1" applyFill="1" applyAlignment="1">
      <alignment horizontal="justify"/>
    </xf>
    <xf numFmtId="0" fontId="5" fillId="0" borderId="0" xfId="0" applyFont="1" applyFill="1" applyBorder="1" applyAlignment="1">
      <alignment horizontal="justify"/>
    </xf>
    <xf numFmtId="173" fontId="5" fillId="0" borderId="0" xfId="46" applyNumberFormat="1" applyFont="1" applyFill="1" applyBorder="1" applyAlignment="1">
      <alignment horizontal="justify"/>
    </xf>
    <xf numFmtId="173" fontId="5" fillId="0" borderId="0" xfId="0" applyNumberFormat="1" applyFont="1" applyFill="1" applyAlignment="1">
      <alignment horizontal="justify"/>
    </xf>
    <xf numFmtId="0" fontId="13" fillId="0" borderId="0" xfId="0" applyFont="1" applyFill="1" applyAlignment="1">
      <alignment horizontal="justify"/>
    </xf>
    <xf numFmtId="0" fontId="14" fillId="0" borderId="0" xfId="0" applyFont="1" applyFill="1" applyAlignment="1">
      <alignment horizontal="justify"/>
    </xf>
    <xf numFmtId="49" fontId="7" fillId="0" borderId="11" xfId="0" applyNumberFormat="1" applyFont="1" applyFill="1" applyBorder="1" applyAlignment="1" applyProtection="1">
      <alignment horizontal="center" vertical="center" wrapText="1"/>
      <protection/>
    </xf>
    <xf numFmtId="49" fontId="3" fillId="0" borderId="11" xfId="0" applyNumberFormat="1" applyFont="1" applyFill="1" applyBorder="1" applyAlignment="1" applyProtection="1" quotePrefix="1">
      <alignment horizontal="center" vertical="center" wrapText="1"/>
      <protection/>
    </xf>
    <xf numFmtId="0" fontId="2" fillId="0" borderId="0" xfId="0" applyFont="1" applyFill="1" applyAlignment="1">
      <alignment/>
    </xf>
    <xf numFmtId="175" fontId="9" fillId="0" borderId="11" xfId="46" applyNumberFormat="1" applyFont="1" applyBorder="1" applyAlignment="1">
      <alignment horizontal="center"/>
    </xf>
    <xf numFmtId="3" fontId="9" fillId="38" borderId="11" xfId="0" applyNumberFormat="1" applyFont="1" applyFill="1" applyBorder="1" applyAlignment="1">
      <alignment horizontal="center"/>
    </xf>
    <xf numFmtId="3" fontId="8" fillId="0" borderId="11" xfId="0" applyNumberFormat="1" applyFont="1" applyFill="1" applyBorder="1" applyAlignment="1">
      <alignment horizontal="center"/>
    </xf>
    <xf numFmtId="0" fontId="16" fillId="36" borderId="0" xfId="0" applyFont="1" applyFill="1" applyAlignment="1">
      <alignment horizontal="center"/>
    </xf>
    <xf numFmtId="0" fontId="16" fillId="0" borderId="0" xfId="0" applyFont="1" applyAlignment="1">
      <alignment horizontal="center"/>
    </xf>
    <xf numFmtId="0" fontId="9" fillId="0" borderId="11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2" fontId="3" fillId="0" borderId="11" xfId="0" applyNumberFormat="1" applyFont="1" applyBorder="1" applyAlignment="1">
      <alignment vertical="center"/>
    </xf>
    <xf numFmtId="178" fontId="25" fillId="0" borderId="0" xfId="0" applyNumberFormat="1" applyFont="1" applyFill="1" applyAlignment="1">
      <alignment/>
    </xf>
    <xf numFmtId="174" fontId="37" fillId="0" borderId="11" xfId="0" applyNumberFormat="1" applyFont="1" applyBorder="1" applyAlignment="1">
      <alignment horizontal="right"/>
    </xf>
    <xf numFmtId="43" fontId="37" fillId="0" borderId="11" xfId="46" applyNumberFormat="1" applyFont="1" applyBorder="1" applyAlignment="1">
      <alignment horizontal="center"/>
    </xf>
    <xf numFmtId="43" fontId="28" fillId="0" borderId="11" xfId="46" applyNumberFormat="1" applyFont="1" applyBorder="1" applyAlignment="1">
      <alignment horizontal="center"/>
    </xf>
    <xf numFmtId="0" fontId="28" fillId="0" borderId="11" xfId="77" applyFont="1" applyFill="1" applyBorder="1" applyAlignment="1">
      <alignment horizontal="center" wrapText="1"/>
      <protection/>
    </xf>
    <xf numFmtId="0" fontId="28" fillId="0" borderId="11" xfId="0" applyFont="1" applyFill="1" applyBorder="1" applyAlignment="1">
      <alignment horizontal="right"/>
    </xf>
    <xf numFmtId="0" fontId="37" fillId="38" borderId="11" xfId="0" applyFont="1" applyFill="1" applyBorder="1" applyAlignment="1">
      <alignment horizontal="right"/>
    </xf>
    <xf numFmtId="0" fontId="37" fillId="0" borderId="11" xfId="0" applyFont="1" applyBorder="1" applyAlignment="1">
      <alignment horizontal="right"/>
    </xf>
    <xf numFmtId="0" fontId="37" fillId="0" borderId="11" xfId="0" applyFont="1" applyBorder="1" applyAlignment="1">
      <alignment/>
    </xf>
    <xf numFmtId="173" fontId="37" fillId="0" borderId="11" xfId="0" applyNumberFormat="1" applyFont="1" applyBorder="1" applyAlignment="1">
      <alignment/>
    </xf>
    <xf numFmtId="0" fontId="37" fillId="0" borderId="11" xfId="77" applyFont="1" applyFill="1" applyBorder="1" applyAlignment="1">
      <alignment horizontal="center" vertical="center" wrapText="1"/>
      <protection/>
    </xf>
    <xf numFmtId="173" fontId="37" fillId="38" borderId="11" xfId="51" applyNumberFormat="1" applyFont="1" applyFill="1" applyBorder="1" applyAlignment="1">
      <alignment horizontal="right" vertical="center" wrapText="1"/>
    </xf>
    <xf numFmtId="0" fontId="37" fillId="0" borderId="0" xfId="77" applyFont="1" applyFill="1" applyBorder="1" applyAlignment="1">
      <alignment horizontal="right" vertical="center"/>
      <protection/>
    </xf>
    <xf numFmtId="49" fontId="37" fillId="0" borderId="0" xfId="77" applyNumberFormat="1" applyFont="1" applyFill="1" applyBorder="1" applyAlignment="1">
      <alignment vertical="center"/>
      <protection/>
    </xf>
    <xf numFmtId="0" fontId="37" fillId="0" borderId="0" xfId="77" applyFont="1" applyFill="1" applyBorder="1" applyAlignment="1">
      <alignment horizontal="center" vertical="center"/>
      <protection/>
    </xf>
    <xf numFmtId="173" fontId="37" fillId="33" borderId="0" xfId="55" applyNumberFormat="1" applyFont="1" applyFill="1" applyBorder="1" applyAlignment="1">
      <alignment vertical="center"/>
    </xf>
    <xf numFmtId="173" fontId="37" fillId="34" borderId="0" xfId="55" applyNumberFormat="1" applyFont="1" applyFill="1" applyBorder="1" applyAlignment="1">
      <alignment horizontal="right" vertical="center"/>
    </xf>
    <xf numFmtId="3" fontId="37" fillId="35" borderId="0" xfId="74" applyNumberFormat="1" applyFont="1" applyFill="1" applyBorder="1">
      <alignment/>
      <protection/>
    </xf>
    <xf numFmtId="173" fontId="37" fillId="0" borderId="0" xfId="46" applyNumberFormat="1" applyFont="1" applyFill="1" applyBorder="1" applyAlignment="1">
      <alignment/>
    </xf>
    <xf numFmtId="43" fontId="37" fillId="38" borderId="11" xfId="51" applyNumberFormat="1" applyFont="1" applyFill="1" applyBorder="1" applyAlignment="1">
      <alignment horizontal="right" vertical="center" wrapText="1"/>
    </xf>
    <xf numFmtId="0" fontId="44" fillId="0" borderId="0" xfId="77" applyFont="1" applyFill="1" applyBorder="1" applyAlignment="1">
      <alignment/>
      <protection/>
    </xf>
    <xf numFmtId="49" fontId="44" fillId="0" borderId="0" xfId="77" applyNumberFormat="1" applyFont="1" applyFill="1" applyBorder="1" applyAlignment="1">
      <alignment/>
      <protection/>
    </xf>
    <xf numFmtId="0" fontId="28" fillId="33" borderId="0" xfId="0" applyFont="1" applyFill="1" applyBorder="1" applyAlignment="1">
      <alignment/>
    </xf>
    <xf numFmtId="0" fontId="28" fillId="34" borderId="0" xfId="0" applyFont="1" applyFill="1" applyBorder="1" applyAlignment="1">
      <alignment/>
    </xf>
    <xf numFmtId="3" fontId="28" fillId="35" borderId="0" xfId="74" applyNumberFormat="1" applyFont="1" applyFill="1" applyBorder="1">
      <alignment/>
      <protection/>
    </xf>
    <xf numFmtId="0" fontId="37" fillId="0" borderId="0" xfId="0" applyFont="1" applyFill="1" applyBorder="1" applyAlignment="1">
      <alignment/>
    </xf>
    <xf numFmtId="0" fontId="45" fillId="0" borderId="11" xfId="0" applyFont="1" applyFill="1" applyBorder="1" applyAlignment="1">
      <alignment horizontal="right"/>
    </xf>
    <xf numFmtId="0" fontId="45" fillId="0" borderId="0" xfId="0" applyFont="1" applyFill="1" applyBorder="1" applyAlignment="1">
      <alignment/>
    </xf>
    <xf numFmtId="0" fontId="45" fillId="33" borderId="0" xfId="0" applyFont="1" applyFill="1" applyBorder="1" applyAlignment="1">
      <alignment/>
    </xf>
    <xf numFmtId="0" fontId="45" fillId="34" borderId="0" xfId="0" applyFont="1" applyFill="1" applyBorder="1" applyAlignment="1">
      <alignment/>
    </xf>
    <xf numFmtId="0" fontId="45" fillId="35" borderId="0" xfId="0" applyFont="1" applyFill="1" applyBorder="1" applyAlignment="1">
      <alignment/>
    </xf>
    <xf numFmtId="0" fontId="28" fillId="0" borderId="11" xfId="77" applyFont="1" applyFill="1" applyBorder="1" applyAlignment="1">
      <alignment horizontal="center" vertical="center"/>
      <protection/>
    </xf>
    <xf numFmtId="49" fontId="28" fillId="0" borderId="11" xfId="77" applyNumberFormat="1" applyFont="1" applyFill="1" applyBorder="1" applyAlignment="1" quotePrefix="1">
      <alignment horizontal="left" vertical="center" wrapText="1"/>
      <protection/>
    </xf>
    <xf numFmtId="0" fontId="28" fillId="0" borderId="11" xfId="77" applyFont="1" applyFill="1" applyBorder="1" applyAlignment="1">
      <alignment horizontal="center" vertical="center" wrapText="1"/>
      <protection/>
    </xf>
    <xf numFmtId="174" fontId="37" fillId="38" borderId="11" xfId="0" applyNumberFormat="1" applyFont="1" applyFill="1" applyBorder="1" applyAlignment="1">
      <alignment horizontal="right" vertical="center"/>
    </xf>
    <xf numFmtId="43" fontId="45" fillId="0" borderId="11" xfId="0" applyNumberFormat="1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5" fillId="33" borderId="0" xfId="0" applyFont="1" applyFill="1" applyBorder="1" applyAlignment="1">
      <alignment horizontal="center" vertical="center"/>
    </xf>
    <xf numFmtId="0" fontId="45" fillId="34" borderId="0" xfId="0" applyFont="1" applyFill="1" applyBorder="1" applyAlignment="1">
      <alignment horizontal="center" vertical="center"/>
    </xf>
    <xf numFmtId="0" fontId="45" fillId="35" borderId="0" xfId="0" applyFont="1" applyFill="1" applyBorder="1" applyAlignment="1">
      <alignment horizontal="center" vertical="center"/>
    </xf>
    <xf numFmtId="174" fontId="37" fillId="38" borderId="11" xfId="51" applyNumberFormat="1" applyFont="1" applyFill="1" applyBorder="1" applyAlignment="1">
      <alignment horizontal="right" vertical="center" wrapText="1"/>
    </xf>
    <xf numFmtId="0" fontId="45" fillId="33" borderId="0" xfId="0" applyFont="1" applyFill="1" applyAlignment="1">
      <alignment/>
    </xf>
    <xf numFmtId="0" fontId="45" fillId="34" borderId="0" xfId="0" applyFont="1" applyFill="1" applyAlignment="1">
      <alignment/>
    </xf>
    <xf numFmtId="0" fontId="45" fillId="35" borderId="0" xfId="0" applyFont="1" applyFill="1" applyAlignment="1">
      <alignment/>
    </xf>
    <xf numFmtId="0" fontId="38" fillId="0" borderId="11" xfId="0" applyFont="1" applyFill="1" applyBorder="1" applyAlignment="1" applyProtection="1">
      <alignment horizontal="justify" vertical="center" wrapText="1"/>
      <protection/>
    </xf>
    <xf numFmtId="0" fontId="3" fillId="0" borderId="11" xfId="0" applyFont="1" applyFill="1" applyBorder="1" applyAlignment="1" applyProtection="1">
      <alignment horizontal="justify" vertical="center" wrapText="1"/>
      <protection/>
    </xf>
    <xf numFmtId="173" fontId="38" fillId="0" borderId="11" xfId="0" applyNumberFormat="1" applyFont="1" applyFill="1" applyBorder="1" applyAlignment="1" applyProtection="1">
      <alignment horizontal="right" vertical="center" wrapText="1"/>
      <protection/>
    </xf>
    <xf numFmtId="0" fontId="7" fillId="0" borderId="0" xfId="0" applyFont="1" applyFill="1" applyAlignment="1">
      <alignment horizontal="justify" vertical="center" wrapText="1"/>
    </xf>
    <xf numFmtId="0" fontId="2" fillId="0" borderId="11" xfId="0" applyFont="1" applyFill="1" applyBorder="1" applyAlignment="1" applyProtection="1">
      <alignment horizontal="justify" vertical="center" wrapText="1"/>
      <protection/>
    </xf>
    <xf numFmtId="0" fontId="3" fillId="36" borderId="11" xfId="0" applyFont="1" applyFill="1" applyBorder="1" applyAlignment="1" applyProtection="1">
      <alignment horizontal="justify" vertical="center" wrapText="1"/>
      <protection/>
    </xf>
    <xf numFmtId="0" fontId="9" fillId="0" borderId="11" xfId="0" applyFont="1" applyBorder="1" applyAlignment="1">
      <alignment horizontal="justify" vertical="center" wrapText="1"/>
    </xf>
    <xf numFmtId="0" fontId="3" fillId="0" borderId="11" xfId="0" applyFont="1" applyFill="1" applyBorder="1" applyAlignment="1" applyProtection="1" quotePrefix="1">
      <alignment horizontal="justify" vertical="center" wrapText="1"/>
      <protection/>
    </xf>
    <xf numFmtId="0" fontId="3" fillId="0" borderId="0" xfId="0" applyFont="1" applyAlignment="1">
      <alignment horizontal="justify"/>
    </xf>
    <xf numFmtId="0" fontId="2" fillId="0" borderId="0" xfId="0" applyFont="1" applyAlignment="1">
      <alignment horizontal="justify"/>
    </xf>
    <xf numFmtId="2" fontId="3" fillId="0" borderId="11" xfId="0" applyNumberFormat="1" applyFont="1" applyFill="1" applyBorder="1" applyAlignment="1" applyProtection="1" quotePrefix="1">
      <alignment horizontal="right" vertical="center" wrapText="1"/>
      <protection/>
    </xf>
    <xf numFmtId="174" fontId="18" fillId="38" borderId="11" xfId="46" applyNumberFormat="1" applyFont="1" applyFill="1" applyBorder="1" applyAlignment="1">
      <alignment horizontal="right"/>
    </xf>
    <xf numFmtId="173" fontId="18" fillId="38" borderId="11" xfId="46" applyNumberFormat="1" applyFont="1" applyFill="1" applyBorder="1" applyAlignment="1">
      <alignment horizontal="right"/>
    </xf>
    <xf numFmtId="4" fontId="2" fillId="0" borderId="11" xfId="0" applyNumberFormat="1" applyFont="1" applyFill="1" applyBorder="1" applyAlignment="1">
      <alignment horizontal="center" vertical="center"/>
    </xf>
    <xf numFmtId="4" fontId="3" fillId="38" borderId="11" xfId="0" applyNumberFormat="1" applyFont="1" applyFill="1" applyBorder="1" applyAlignment="1">
      <alignment/>
    </xf>
    <xf numFmtId="4" fontId="2" fillId="36" borderId="11" xfId="0" applyNumberFormat="1" applyFont="1" applyFill="1" applyBorder="1" applyAlignment="1">
      <alignment/>
    </xf>
    <xf numFmtId="4" fontId="3" fillId="38" borderId="11" xfId="0" applyNumberFormat="1" applyFont="1" applyFill="1" applyBorder="1" applyAlignment="1">
      <alignment horizontal="center"/>
    </xf>
    <xf numFmtId="2" fontId="9" fillId="0" borderId="11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vertical="center"/>
    </xf>
    <xf numFmtId="174" fontId="37" fillId="0" borderId="11" xfId="46" applyNumberFormat="1" applyFont="1" applyFill="1" applyBorder="1" applyAlignment="1">
      <alignment horizontal="right" vertical="center"/>
    </xf>
    <xf numFmtId="173" fontId="37" fillId="0" borderId="11" xfId="46" applyNumberFormat="1" applyFont="1" applyFill="1" applyBorder="1" applyAlignment="1">
      <alignment horizontal="right" vertical="center"/>
    </xf>
    <xf numFmtId="43" fontId="37" fillId="0" borderId="11" xfId="46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vertical="justify" wrapText="1"/>
    </xf>
    <xf numFmtId="0" fontId="3" fillId="0" borderId="11" xfId="0" applyFont="1" applyBorder="1" applyAlignment="1">
      <alignment vertical="justify"/>
    </xf>
    <xf numFmtId="0" fontId="2" fillId="0" borderId="11" xfId="0" applyFont="1" applyBorder="1" applyAlignment="1">
      <alignment vertical="justify"/>
    </xf>
    <xf numFmtId="0" fontId="3" fillId="0" borderId="11" xfId="0" applyFont="1" applyBorder="1" applyAlignment="1">
      <alignment horizontal="justify" vertical="justify" wrapText="1"/>
    </xf>
    <xf numFmtId="0" fontId="2" fillId="0" borderId="11" xfId="0" applyFont="1" applyBorder="1" applyAlignment="1">
      <alignment horizontal="justify" vertical="justify" wrapText="1"/>
    </xf>
    <xf numFmtId="189" fontId="28" fillId="0" borderId="11" xfId="0" applyNumberFormat="1" applyFont="1" applyFill="1" applyBorder="1" applyAlignment="1">
      <alignment/>
    </xf>
    <xf numFmtId="0" fontId="37" fillId="0" borderId="11" xfId="0" applyFont="1" applyFill="1" applyBorder="1" applyAlignment="1">
      <alignment/>
    </xf>
    <xf numFmtId="174" fontId="37" fillId="0" borderId="11" xfId="46" applyNumberFormat="1" applyFont="1" applyFill="1" applyBorder="1" applyAlignment="1">
      <alignment/>
    </xf>
    <xf numFmtId="0" fontId="37" fillId="0" borderId="11" xfId="0" applyFont="1" applyFill="1" applyBorder="1" applyAlignment="1">
      <alignment horizontal="center" vertical="center"/>
    </xf>
    <xf numFmtId="0" fontId="37" fillId="0" borderId="11" xfId="0" applyFont="1" applyFill="1" applyBorder="1" applyAlignment="1">
      <alignment horizontal="left" vertical="center" wrapText="1"/>
    </xf>
    <xf numFmtId="173" fontId="37" fillId="0" borderId="11" xfId="46" applyNumberFormat="1" applyFont="1" applyFill="1" applyBorder="1" applyAlignment="1">
      <alignment/>
    </xf>
    <xf numFmtId="0" fontId="34" fillId="0" borderId="0" xfId="0" applyFont="1" applyFill="1" applyAlignment="1">
      <alignment horizontal="center" vertical="center"/>
    </xf>
    <xf numFmtId="0" fontId="3" fillId="0" borderId="11" xfId="0" applyFont="1" applyBorder="1" applyAlignment="1">
      <alignment horizontal="left"/>
    </xf>
    <xf numFmtId="0" fontId="9" fillId="36" borderId="11" xfId="78" applyFont="1" applyFill="1" applyBorder="1" applyAlignment="1">
      <alignment horizontal="justify" vertical="center" wrapText="1"/>
      <protection/>
    </xf>
    <xf numFmtId="0" fontId="9" fillId="0" borderId="11" xfId="78" applyFont="1" applyFill="1" applyBorder="1" applyAlignment="1">
      <alignment horizontal="justify" vertical="center" wrapText="1"/>
      <protection/>
    </xf>
    <xf numFmtId="0" fontId="9" fillId="0" borderId="11" xfId="78" applyFont="1" applyFill="1" applyBorder="1" applyAlignment="1">
      <alignment horizontal="justify" wrapText="1"/>
      <protection/>
    </xf>
    <xf numFmtId="0" fontId="8" fillId="0" borderId="11" xfId="78" applyFont="1" applyFill="1" applyBorder="1" applyAlignment="1">
      <alignment horizontal="justify" wrapText="1"/>
      <protection/>
    </xf>
    <xf numFmtId="0" fontId="9" fillId="36" borderId="11" xfId="78" applyFont="1" applyFill="1" applyBorder="1" applyAlignment="1">
      <alignment horizontal="justify" wrapText="1"/>
      <protection/>
    </xf>
    <xf numFmtId="0" fontId="15" fillId="0" borderId="11" xfId="78" applyFont="1" applyFill="1" applyBorder="1" applyAlignment="1">
      <alignment horizontal="justify" wrapText="1"/>
      <protection/>
    </xf>
    <xf numFmtId="0" fontId="9" fillId="0" borderId="11" xfId="78" applyFont="1" applyFill="1" applyBorder="1" applyAlignment="1" quotePrefix="1">
      <alignment horizontal="justify" wrapText="1"/>
      <protection/>
    </xf>
    <xf numFmtId="0" fontId="18" fillId="0" borderId="11" xfId="78" applyFont="1" applyFill="1" applyBorder="1" applyAlignment="1">
      <alignment horizontal="justify" vertical="center" wrapText="1"/>
      <protection/>
    </xf>
    <xf numFmtId="0" fontId="9" fillId="0" borderId="11" xfId="78" applyFont="1" applyFill="1" applyBorder="1" applyAlignment="1">
      <alignment horizontal="center" vertical="center"/>
      <protection/>
    </xf>
    <xf numFmtId="3" fontId="3" fillId="0" borderId="11" xfId="0" applyNumberFormat="1" applyFont="1" applyFill="1" applyBorder="1" applyAlignment="1">
      <alignment vertical="center"/>
    </xf>
    <xf numFmtId="43" fontId="3" fillId="0" borderId="11" xfId="46" applyNumberFormat="1" applyFont="1" applyFill="1" applyBorder="1" applyAlignment="1" applyProtection="1">
      <alignment horizontal="right" vertical="center" wrapText="1"/>
      <protection/>
    </xf>
    <xf numFmtId="43" fontId="3" fillId="0" borderId="11" xfId="0" applyNumberFormat="1" applyFont="1" applyFill="1" applyBorder="1" applyAlignment="1" applyProtection="1">
      <alignment horizontal="right" vertical="center" wrapText="1"/>
      <protection/>
    </xf>
    <xf numFmtId="43" fontId="3" fillId="38" borderId="11" xfId="0" applyNumberFormat="1" applyFont="1" applyFill="1" applyBorder="1" applyAlignment="1" applyProtection="1">
      <alignment horizontal="right" vertical="center" wrapText="1"/>
      <protection/>
    </xf>
    <xf numFmtId="174" fontId="3" fillId="38" borderId="11" xfId="0" applyNumberFormat="1" applyFont="1" applyFill="1" applyBorder="1" applyAlignment="1" applyProtection="1">
      <alignment horizontal="right" vertical="center" wrapText="1"/>
      <protection/>
    </xf>
    <xf numFmtId="174" fontId="3" fillId="36" borderId="11" xfId="46" applyNumberFormat="1" applyFont="1" applyFill="1" applyBorder="1" applyAlignment="1" applyProtection="1">
      <alignment horizontal="right" vertical="center" wrapText="1"/>
      <protection/>
    </xf>
    <xf numFmtId="1" fontId="3" fillId="36" borderId="11" xfId="0" applyNumberFormat="1" applyFont="1" applyFill="1" applyBorder="1" applyAlignment="1" applyProtection="1">
      <alignment horizontal="right" vertical="center" wrapText="1"/>
      <protection/>
    </xf>
    <xf numFmtId="2" fontId="3" fillId="36" borderId="11" xfId="0" applyNumberFormat="1" applyFont="1" applyFill="1" applyBorder="1" applyAlignment="1" applyProtection="1">
      <alignment horizontal="right" vertical="center" wrapText="1"/>
      <protection/>
    </xf>
    <xf numFmtId="4" fontId="3" fillId="0" borderId="11" xfId="0" applyNumberFormat="1" applyFont="1" applyFill="1" applyBorder="1" applyAlignment="1" applyProtection="1">
      <alignment horizontal="right" vertical="center" wrapText="1"/>
      <protection/>
    </xf>
    <xf numFmtId="173" fontId="28" fillId="0" borderId="11" xfId="0" applyNumberFormat="1" applyFont="1" applyFill="1" applyBorder="1" applyAlignment="1">
      <alignment horizontal="right"/>
    </xf>
    <xf numFmtId="43" fontId="28" fillId="0" borderId="11" xfId="46" applyNumberFormat="1" applyFont="1" applyBorder="1" applyAlignment="1">
      <alignment/>
    </xf>
    <xf numFmtId="4" fontId="37" fillId="0" borderId="11" xfId="0" applyNumberFormat="1" applyFont="1" applyFill="1" applyBorder="1" applyAlignment="1">
      <alignment horizontal="right"/>
    </xf>
    <xf numFmtId="1" fontId="37" fillId="38" borderId="11" xfId="0" applyNumberFormat="1" applyFont="1" applyFill="1" applyBorder="1" applyAlignment="1">
      <alignment/>
    </xf>
    <xf numFmtId="179" fontId="37" fillId="0" borderId="11" xfId="0" applyNumberFormat="1" applyFont="1" applyBorder="1" applyAlignment="1">
      <alignment/>
    </xf>
    <xf numFmtId="0" fontId="37" fillId="38" borderId="11" xfId="0" applyFont="1" applyFill="1" applyBorder="1" applyAlignment="1">
      <alignment/>
    </xf>
    <xf numFmtId="173" fontId="37" fillId="38" borderId="11" xfId="51" applyNumberFormat="1" applyFont="1" applyFill="1" applyBorder="1" applyAlignment="1">
      <alignment/>
    </xf>
    <xf numFmtId="174" fontId="37" fillId="38" borderId="11" xfId="51" applyNumberFormat="1" applyFont="1" applyFill="1" applyBorder="1" applyAlignment="1">
      <alignment/>
    </xf>
    <xf numFmtId="173" fontId="37" fillId="0" borderId="11" xfId="51" applyNumberFormat="1" applyFont="1" applyFill="1" applyBorder="1" applyAlignment="1">
      <alignment/>
    </xf>
    <xf numFmtId="173" fontId="37" fillId="38" borderId="11" xfId="51" applyNumberFormat="1" applyFont="1" applyFill="1" applyBorder="1" applyAlignment="1">
      <alignment horizontal="right"/>
    </xf>
    <xf numFmtId="174" fontId="37" fillId="38" borderId="11" xfId="51" applyNumberFormat="1" applyFont="1" applyFill="1" applyBorder="1" applyAlignment="1">
      <alignment horizontal="right"/>
    </xf>
    <xf numFmtId="0" fontId="72" fillId="0" borderId="11" xfId="0" applyFont="1" applyBorder="1" applyAlignment="1">
      <alignment/>
    </xf>
    <xf numFmtId="0" fontId="72" fillId="38" borderId="11" xfId="0" applyFont="1" applyFill="1" applyBorder="1" applyAlignment="1">
      <alignment/>
    </xf>
    <xf numFmtId="174" fontId="72" fillId="0" borderId="11" xfId="51" applyNumberFormat="1" applyFont="1" applyFill="1" applyBorder="1" applyAlignment="1">
      <alignment/>
    </xf>
    <xf numFmtId="173" fontId="72" fillId="0" borderId="11" xfId="51" applyNumberFormat="1" applyFont="1" applyFill="1" applyBorder="1" applyAlignment="1">
      <alignment/>
    </xf>
    <xf numFmtId="43" fontId="3" fillId="0" borderId="11" xfId="46" applyNumberFormat="1" applyFont="1" applyFill="1" applyBorder="1" applyAlignment="1">
      <alignment horizontal="right"/>
    </xf>
    <xf numFmtId="1" fontId="2" fillId="0" borderId="11" xfId="0" applyNumberFormat="1" applyFont="1" applyFill="1" applyBorder="1" applyAlignment="1">
      <alignment/>
    </xf>
    <xf numFmtId="173" fontId="3" fillId="38" borderId="11" xfId="46" applyNumberFormat="1" applyFont="1" applyFill="1" applyBorder="1" applyAlignment="1">
      <alignment/>
    </xf>
    <xf numFmtId="173" fontId="3" fillId="38" borderId="11" xfId="46" applyNumberFormat="1" applyFont="1" applyFill="1" applyBorder="1" applyAlignment="1">
      <alignment/>
    </xf>
    <xf numFmtId="2" fontId="3" fillId="0" borderId="11" xfId="0" applyNumberFormat="1" applyFont="1" applyFill="1" applyBorder="1" applyAlignment="1">
      <alignment/>
    </xf>
    <xf numFmtId="173" fontId="3" fillId="0" borderId="11" xfId="46" applyNumberFormat="1" applyFont="1" applyFill="1" applyBorder="1" applyAlignment="1">
      <alignment/>
    </xf>
    <xf numFmtId="174" fontId="3" fillId="0" borderId="11" xfId="46" applyNumberFormat="1" applyFont="1" applyFill="1" applyBorder="1" applyAlignment="1">
      <alignment/>
    </xf>
    <xf numFmtId="177" fontId="3" fillId="0" borderId="11" xfId="46" applyNumberFormat="1" applyFont="1" applyFill="1" applyBorder="1" applyAlignment="1">
      <alignment/>
    </xf>
    <xf numFmtId="43" fontId="3" fillId="0" borderId="11" xfId="46" applyNumberFormat="1" applyFont="1" applyFill="1" applyBorder="1" applyAlignment="1">
      <alignment/>
    </xf>
    <xf numFmtId="2" fontId="3" fillId="0" borderId="11" xfId="0" applyNumberFormat="1" applyFont="1" applyFill="1" applyBorder="1" applyAlignment="1">
      <alignment vertical="center"/>
    </xf>
    <xf numFmtId="173" fontId="3" fillId="0" borderId="11" xfId="0" applyNumberFormat="1" applyFont="1" applyFill="1" applyBorder="1" applyAlignment="1">
      <alignment horizontal="center" vertical="center"/>
    </xf>
    <xf numFmtId="174" fontId="3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 vertical="center"/>
    </xf>
    <xf numFmtId="173" fontId="3" fillId="38" borderId="11" xfId="49" applyNumberFormat="1" applyFont="1" applyFill="1" applyBorder="1" applyAlignment="1">
      <alignment horizontal="right" vertical="center" wrapText="1"/>
    </xf>
    <xf numFmtId="3" fontId="3" fillId="38" borderId="11" xfId="0" applyNumberFormat="1" applyFont="1" applyFill="1" applyBorder="1" applyAlignment="1">
      <alignment horizontal="right" vertical="center" wrapText="1"/>
    </xf>
    <xf numFmtId="4" fontId="3" fillId="0" borderId="11" xfId="0" applyNumberFormat="1" applyFont="1" applyFill="1" applyBorder="1" applyAlignment="1">
      <alignment horizontal="right"/>
    </xf>
    <xf numFmtId="172" fontId="3" fillId="0" borderId="11" xfId="0" applyNumberFormat="1" applyFont="1" applyFill="1" applyBorder="1" applyAlignment="1">
      <alignment horizontal="right"/>
    </xf>
    <xf numFmtId="172" fontId="3" fillId="0" borderId="11" xfId="0" applyNumberFormat="1" applyFont="1" applyFill="1" applyBorder="1" applyAlignment="1">
      <alignment horizontal="center"/>
    </xf>
    <xf numFmtId="4" fontId="3" fillId="0" borderId="11" xfId="0" applyNumberFormat="1" applyFont="1" applyFill="1" applyBorder="1" applyAlignment="1">
      <alignment horizontal="right" vertical="center"/>
    </xf>
    <xf numFmtId="172" fontId="3" fillId="0" borderId="11" xfId="0" applyNumberFormat="1" applyFont="1" applyFill="1" applyBorder="1" applyAlignment="1">
      <alignment horizontal="right" vertical="center"/>
    </xf>
    <xf numFmtId="174" fontId="3" fillId="0" borderId="15" xfId="46" applyNumberFormat="1" applyFont="1" applyFill="1" applyBorder="1" applyAlignment="1">
      <alignment horizontal="right" vertical="center"/>
    </xf>
    <xf numFmtId="173" fontId="3" fillId="0" borderId="15" xfId="46" applyNumberFormat="1" applyFont="1" applyFill="1" applyBorder="1" applyAlignment="1">
      <alignment horizontal="right" vertical="center"/>
    </xf>
    <xf numFmtId="172" fontId="3" fillId="0" borderId="11" xfId="0" applyNumberFormat="1" applyFont="1" applyFill="1" applyBorder="1" applyAlignment="1">
      <alignment vertical="center" shrinkToFit="1"/>
    </xf>
    <xf numFmtId="3" fontId="3" fillId="0" borderId="11" xfId="0" applyNumberFormat="1" applyFont="1" applyFill="1" applyBorder="1" applyAlignment="1">
      <alignment vertical="center" shrinkToFit="1"/>
    </xf>
    <xf numFmtId="175" fontId="3" fillId="0" borderId="11" xfId="0" applyNumberFormat="1" applyFont="1" applyFill="1" applyBorder="1" applyAlignment="1">
      <alignment horizontal="right"/>
    </xf>
    <xf numFmtId="172" fontId="3" fillId="0" borderId="11" xfId="0" applyNumberFormat="1" applyFont="1" applyFill="1" applyBorder="1" applyAlignment="1">
      <alignment horizontal="center" vertical="center"/>
    </xf>
    <xf numFmtId="173" fontId="3" fillId="0" borderId="11" xfId="0" applyNumberFormat="1" applyFont="1" applyFill="1" applyBorder="1" applyAlignment="1">
      <alignment horizontal="right"/>
    </xf>
    <xf numFmtId="173" fontId="3" fillId="38" borderId="11" xfId="50" applyNumberFormat="1" applyFont="1" applyFill="1" applyBorder="1" applyAlignment="1">
      <alignment horizontal="right" vertical="center" wrapText="1"/>
    </xf>
    <xf numFmtId="173" fontId="3" fillId="0" borderId="11" xfId="46" applyNumberFormat="1" applyFont="1" applyFill="1" applyBorder="1" applyAlignment="1">
      <alignment horizontal="center" vertical="center"/>
    </xf>
    <xf numFmtId="3" fontId="2" fillId="36" borderId="11" xfId="0" applyNumberFormat="1" applyFont="1" applyFill="1" applyBorder="1" applyAlignment="1">
      <alignment horizontal="right"/>
    </xf>
    <xf numFmtId="4" fontId="2" fillId="0" borderId="11" xfId="0" applyNumberFormat="1" applyFont="1" applyFill="1" applyBorder="1" applyAlignment="1">
      <alignment horizontal="center"/>
    </xf>
    <xf numFmtId="173" fontId="3" fillId="36" borderId="11" xfId="0" applyNumberFormat="1" applyFont="1" applyFill="1" applyBorder="1" applyAlignment="1">
      <alignment horizontal="right"/>
    </xf>
    <xf numFmtId="3" fontId="2" fillId="38" borderId="11" xfId="0" applyNumberFormat="1" applyFont="1" applyFill="1" applyBorder="1" applyAlignment="1">
      <alignment horizontal="right" vertical="center" wrapText="1"/>
    </xf>
    <xf numFmtId="172" fontId="2" fillId="36" borderId="11" xfId="0" applyNumberFormat="1" applyFont="1" applyFill="1" applyBorder="1" applyAlignment="1">
      <alignment horizontal="right"/>
    </xf>
    <xf numFmtId="4" fontId="2" fillId="36" borderId="11" xfId="0" applyNumberFormat="1" applyFont="1" applyFill="1" applyBorder="1" applyAlignment="1">
      <alignment horizontal="right"/>
    </xf>
    <xf numFmtId="0" fontId="2" fillId="36" borderId="11" xfId="0" applyFont="1" applyFill="1" applyBorder="1" applyAlignment="1">
      <alignment horizontal="right"/>
    </xf>
    <xf numFmtId="173" fontId="3" fillId="0" borderId="11" xfId="46" applyNumberFormat="1" applyFont="1" applyFill="1" applyBorder="1" applyAlignment="1">
      <alignment horizontal="right" vertical="center"/>
    </xf>
    <xf numFmtId="173" fontId="3" fillId="0" borderId="11" xfId="51" applyNumberFormat="1" applyFont="1" applyFill="1" applyBorder="1" applyAlignment="1">
      <alignment horizontal="right" vertical="center"/>
    </xf>
    <xf numFmtId="43" fontId="28" fillId="0" borderId="11" xfId="46" applyNumberFormat="1" applyFont="1" applyFill="1" applyBorder="1" applyAlignment="1">
      <alignment horizontal="center"/>
    </xf>
    <xf numFmtId="43" fontId="28" fillId="0" borderId="11" xfId="46" applyNumberFormat="1" applyFont="1" applyBorder="1" applyAlignment="1">
      <alignment horizontal="center" vertical="center"/>
    </xf>
    <xf numFmtId="43" fontId="37" fillId="0" borderId="11" xfId="46" applyNumberFormat="1" applyFont="1" applyBorder="1" applyAlignment="1">
      <alignment horizontal="center" vertical="center"/>
    </xf>
    <xf numFmtId="173" fontId="28" fillId="0" borderId="11" xfId="46" applyNumberFormat="1" applyFont="1" applyBorder="1" applyAlignment="1">
      <alignment vertical="center"/>
    </xf>
    <xf numFmtId="173" fontId="37" fillId="0" borderId="11" xfId="51" applyNumberFormat="1" applyFont="1" applyFill="1" applyBorder="1" applyAlignment="1">
      <alignment vertical="center"/>
    </xf>
    <xf numFmtId="174" fontId="37" fillId="0" borderId="11" xfId="46" applyNumberFormat="1" applyFont="1" applyBorder="1" applyAlignment="1">
      <alignment horizontal="center"/>
    </xf>
    <xf numFmtId="175" fontId="37" fillId="0" borderId="11" xfId="77" applyNumberFormat="1" applyFont="1" applyFill="1" applyBorder="1" applyAlignment="1">
      <alignment horizontal="right"/>
      <protection/>
    </xf>
    <xf numFmtId="175" fontId="37" fillId="0" borderId="11" xfId="77" applyNumberFormat="1" applyFont="1" applyFill="1" applyBorder="1" applyAlignment="1">
      <alignment/>
      <protection/>
    </xf>
    <xf numFmtId="1" fontId="37" fillId="0" borderId="11" xfId="77" applyNumberFormat="1" applyFont="1" applyFill="1" applyBorder="1" applyAlignment="1">
      <alignment horizontal="right"/>
      <protection/>
    </xf>
    <xf numFmtId="172" fontId="37" fillId="0" borderId="11" xfId="0" applyNumberFormat="1" applyFont="1" applyFill="1" applyBorder="1" applyAlignment="1">
      <alignment horizontal="right"/>
    </xf>
    <xf numFmtId="173" fontId="37" fillId="38" borderId="11" xfId="46" applyNumberFormat="1" applyFont="1" applyFill="1" applyBorder="1" applyAlignment="1">
      <alignment vertical="center"/>
    </xf>
    <xf numFmtId="1" fontId="37" fillId="0" borderId="11" xfId="51" applyNumberFormat="1" applyFont="1" applyFill="1" applyBorder="1" applyAlignment="1">
      <alignment/>
    </xf>
    <xf numFmtId="173" fontId="37" fillId="0" borderId="11" xfId="0" applyNumberFormat="1" applyFont="1" applyBorder="1" applyAlignment="1">
      <alignment horizontal="right"/>
    </xf>
    <xf numFmtId="174" fontId="37" fillId="38" borderId="11" xfId="46" applyNumberFormat="1" applyFont="1" applyFill="1" applyBorder="1" applyAlignment="1">
      <alignment horizontal="right" vertical="center"/>
    </xf>
    <xf numFmtId="173" fontId="28" fillId="0" borderId="11" xfId="51" applyNumberFormat="1" applyFont="1" applyFill="1" applyBorder="1" applyAlignment="1">
      <alignment/>
    </xf>
    <xf numFmtId="173" fontId="37" fillId="38" borderId="11" xfId="46" applyNumberFormat="1" applyFont="1" applyFill="1" applyBorder="1" applyAlignment="1">
      <alignment/>
    </xf>
    <xf numFmtId="173" fontId="37" fillId="0" borderId="11" xfId="46" applyNumberFormat="1" applyFont="1" applyFill="1" applyBorder="1" applyAlignment="1">
      <alignment/>
    </xf>
    <xf numFmtId="3" fontId="37" fillId="0" borderId="11" xfId="0" applyNumberFormat="1" applyFont="1" applyFill="1" applyBorder="1" applyAlignment="1">
      <alignment horizontal="right"/>
    </xf>
    <xf numFmtId="173" fontId="28" fillId="0" borderId="11" xfId="46" applyNumberFormat="1" applyFont="1" applyBorder="1" applyAlignment="1">
      <alignment/>
    </xf>
    <xf numFmtId="173" fontId="37" fillId="0" borderId="11" xfId="46" applyNumberFormat="1" applyFont="1" applyBorder="1" applyAlignment="1">
      <alignment/>
    </xf>
    <xf numFmtId="172" fontId="37" fillId="0" borderId="11" xfId="0" applyNumberFormat="1" applyFont="1" applyFill="1" applyBorder="1" applyAlignment="1">
      <alignment horizontal="right" vertical="center"/>
    </xf>
    <xf numFmtId="175" fontId="9" fillId="0" borderId="11" xfId="0" applyNumberFormat="1" applyFont="1" applyBorder="1" applyAlignment="1">
      <alignment horizontal="center"/>
    </xf>
    <xf numFmtId="1" fontId="9" fillId="0" borderId="11" xfId="0" applyNumberFormat="1" applyFont="1" applyBorder="1" applyAlignment="1">
      <alignment horizontal="center"/>
    </xf>
    <xf numFmtId="1" fontId="9" fillId="38" borderId="11" xfId="78" applyNumberFormat="1" applyFont="1" applyFill="1" applyBorder="1" applyAlignment="1">
      <alignment horizontal="center"/>
      <protection/>
    </xf>
    <xf numFmtId="0" fontId="9" fillId="36" borderId="11" xfId="76" applyFont="1" applyFill="1" applyBorder="1" applyAlignment="1">
      <alignment horizontal="center"/>
      <protection/>
    </xf>
    <xf numFmtId="1" fontId="9" fillId="0" borderId="11" xfId="76" applyNumberFormat="1" applyFont="1" applyFill="1" applyBorder="1" applyAlignment="1">
      <alignment horizontal="center"/>
      <protection/>
    </xf>
    <xf numFmtId="0" fontId="9" fillId="0" borderId="11" xfId="75" applyFont="1" applyFill="1" applyBorder="1" applyAlignment="1">
      <alignment horizontal="center"/>
      <protection/>
    </xf>
    <xf numFmtId="1" fontId="8" fillId="0" borderId="11" xfId="78" applyNumberFormat="1" applyFont="1" applyFill="1" applyBorder="1" applyAlignment="1">
      <alignment horizontal="center"/>
      <protection/>
    </xf>
    <xf numFmtId="2" fontId="8" fillId="0" borderId="11" xfId="0" applyNumberFormat="1" applyFont="1" applyBorder="1" applyAlignment="1">
      <alignment horizontal="center"/>
    </xf>
    <xf numFmtId="0" fontId="8" fillId="36" borderId="11" xfId="76" applyFont="1" applyFill="1" applyBorder="1" applyAlignment="1">
      <alignment horizontal="center"/>
      <protection/>
    </xf>
    <xf numFmtId="1" fontId="8" fillId="0" borderId="11" xfId="0" applyNumberFormat="1" applyFont="1" applyBorder="1" applyAlignment="1">
      <alignment horizontal="center"/>
    </xf>
    <xf numFmtId="2" fontId="9" fillId="0" borderId="11" xfId="76" applyNumberFormat="1" applyFont="1" applyFill="1" applyBorder="1" applyAlignment="1">
      <alignment horizontal="center"/>
      <protection/>
    </xf>
    <xf numFmtId="175" fontId="9" fillId="0" borderId="11" xfId="76" applyNumberFormat="1" applyFont="1" applyFill="1" applyBorder="1" applyAlignment="1">
      <alignment horizontal="center"/>
      <protection/>
    </xf>
    <xf numFmtId="173" fontId="8" fillId="0" borderId="11" xfId="78" applyNumberFormat="1" applyFont="1" applyFill="1" applyBorder="1" applyAlignment="1">
      <alignment horizontal="center"/>
      <protection/>
    </xf>
    <xf numFmtId="3" fontId="8" fillId="0" borderId="11" xfId="76" applyNumberFormat="1" applyFont="1" applyFill="1" applyBorder="1" applyAlignment="1">
      <alignment horizontal="center"/>
      <protection/>
    </xf>
    <xf numFmtId="4" fontId="9" fillId="0" borderId="11" xfId="76" applyNumberFormat="1" applyFont="1" applyFill="1" applyBorder="1" applyAlignment="1">
      <alignment horizontal="center"/>
      <protection/>
    </xf>
    <xf numFmtId="3" fontId="9" fillId="38" borderId="11" xfId="76" applyNumberFormat="1" applyFont="1" applyFill="1" applyBorder="1" applyAlignment="1">
      <alignment horizontal="center"/>
      <protection/>
    </xf>
    <xf numFmtId="172" fontId="9" fillId="0" borderId="11" xfId="76" applyNumberFormat="1" applyFont="1" applyFill="1" applyBorder="1" applyAlignment="1" quotePrefix="1">
      <alignment horizontal="center"/>
      <protection/>
    </xf>
    <xf numFmtId="172" fontId="9" fillId="0" borderId="11" xfId="73" applyNumberFormat="1" applyFont="1" applyFill="1" applyBorder="1" applyAlignment="1">
      <alignment horizontal="center"/>
      <protection/>
    </xf>
    <xf numFmtId="3" fontId="9" fillId="0" borderId="11" xfId="73" applyNumberFormat="1" applyFont="1" applyFill="1" applyBorder="1" applyAlignment="1">
      <alignment horizontal="center"/>
      <protection/>
    </xf>
    <xf numFmtId="49" fontId="9" fillId="0" borderId="11" xfId="76" applyNumberFormat="1" applyFont="1" applyFill="1" applyBorder="1" applyAlignment="1">
      <alignment horizontal="center"/>
      <protection/>
    </xf>
    <xf numFmtId="172" fontId="9" fillId="0" borderId="11" xfId="84" applyNumberFormat="1" applyFont="1" applyFill="1" applyBorder="1" applyAlignment="1">
      <alignment horizontal="center"/>
    </xf>
    <xf numFmtId="3" fontId="9" fillId="0" borderId="11" xfId="78" applyNumberFormat="1" applyFont="1" applyFill="1" applyBorder="1" applyAlignment="1">
      <alignment horizontal="center"/>
      <protection/>
    </xf>
    <xf numFmtId="2" fontId="9" fillId="0" borderId="11" xfId="78" applyNumberFormat="1" applyFont="1" applyFill="1" applyBorder="1" applyAlignment="1">
      <alignment horizontal="center" vertical="center" wrapText="1"/>
      <protection/>
    </xf>
    <xf numFmtId="1" fontId="9" fillId="0" borderId="11" xfId="78" applyNumberFormat="1" applyFont="1" applyFill="1" applyBorder="1" applyAlignment="1">
      <alignment horizontal="center" vertical="center" wrapText="1"/>
      <protection/>
    </xf>
    <xf numFmtId="173" fontId="9" fillId="0" borderId="11" xfId="46" applyNumberFormat="1" applyFont="1" applyFill="1" applyBorder="1" applyAlignment="1">
      <alignment horizontal="center"/>
    </xf>
    <xf numFmtId="173" fontId="8" fillId="0" borderId="11" xfId="46" applyNumberFormat="1" applyFont="1" applyFill="1" applyBorder="1" applyAlignment="1">
      <alignment horizontal="center"/>
    </xf>
    <xf numFmtId="0" fontId="9" fillId="0" borderId="11" xfId="77" applyFont="1" applyFill="1" applyBorder="1" applyAlignment="1">
      <alignment horizontal="center" vertical="center" wrapText="1"/>
      <protection/>
    </xf>
    <xf numFmtId="4" fontId="9" fillId="36" borderId="11" xfId="0" applyNumberFormat="1" applyFont="1" applyFill="1" applyBorder="1" applyAlignment="1">
      <alignment horizontal="right"/>
    </xf>
    <xf numFmtId="172" fontId="9" fillId="36" borderId="11" xfId="0" applyNumberFormat="1" applyFont="1" applyFill="1" applyBorder="1" applyAlignment="1">
      <alignment horizontal="center" vertical="center"/>
    </xf>
    <xf numFmtId="3" fontId="9" fillId="0" borderId="11" xfId="0" applyNumberFormat="1" applyFont="1" applyFill="1" applyBorder="1" applyAlignment="1">
      <alignment horizontal="center" vertical="center"/>
    </xf>
    <xf numFmtId="175" fontId="9" fillId="0" borderId="11" xfId="77" applyNumberFormat="1" applyFont="1" applyFill="1" applyBorder="1" applyAlignment="1">
      <alignment horizontal="center" vertical="center" wrapText="1"/>
      <protection/>
    </xf>
    <xf numFmtId="3" fontId="9" fillId="38" borderId="11" xfId="0" applyNumberFormat="1" applyFont="1" applyFill="1" applyBorder="1" applyAlignment="1">
      <alignment horizontal="right"/>
    </xf>
    <xf numFmtId="175" fontId="9" fillId="0" borderId="11" xfId="46" applyNumberFormat="1" applyFont="1" applyBorder="1" applyAlignment="1">
      <alignment horizontal="right"/>
    </xf>
    <xf numFmtId="0" fontId="0" fillId="0" borderId="0" xfId="0" applyFont="1" applyAlignment="1">
      <alignment/>
    </xf>
    <xf numFmtId="0" fontId="50" fillId="0" borderId="0" xfId="0" applyFont="1" applyAlignment="1">
      <alignment vertical="center"/>
    </xf>
    <xf numFmtId="173" fontId="3" fillId="0" borderId="11" xfId="46" applyNumberFormat="1" applyFont="1" applyBorder="1" applyAlignment="1">
      <alignment horizontal="right" vertical="center"/>
    </xf>
    <xf numFmtId="174" fontId="37" fillId="0" borderId="11" xfId="52" applyNumberFormat="1" applyFont="1" applyFill="1" applyBorder="1" applyAlignment="1">
      <alignment horizontal="right"/>
    </xf>
    <xf numFmtId="173" fontId="37" fillId="0" borderId="11" xfId="52" applyNumberFormat="1" applyFont="1" applyFill="1" applyBorder="1" applyAlignment="1">
      <alignment horizontal="right"/>
    </xf>
    <xf numFmtId="173" fontId="51" fillId="36" borderId="11" xfId="50" applyNumberFormat="1" applyFont="1" applyFill="1" applyBorder="1" applyAlignment="1">
      <alignment/>
    </xf>
    <xf numFmtId="173" fontId="37" fillId="0" borderId="11" xfId="50" applyNumberFormat="1" applyFont="1" applyBorder="1" applyAlignment="1">
      <alignment/>
    </xf>
    <xf numFmtId="173" fontId="93" fillId="0" borderId="11" xfId="51" applyNumberFormat="1" applyFont="1" applyFill="1" applyBorder="1" applyAlignment="1">
      <alignment horizontal="right"/>
    </xf>
    <xf numFmtId="173" fontId="93" fillId="38" borderId="11" xfId="51" applyNumberFormat="1" applyFont="1" applyFill="1" applyBorder="1" applyAlignment="1">
      <alignment horizontal="right"/>
    </xf>
    <xf numFmtId="173" fontId="93" fillId="0" borderId="11" xfId="50" applyNumberFormat="1" applyFont="1" applyBorder="1" applyAlignment="1">
      <alignment/>
    </xf>
    <xf numFmtId="0" fontId="93" fillId="38" borderId="11" xfId="0" applyFont="1" applyFill="1" applyBorder="1" applyAlignment="1">
      <alignment/>
    </xf>
    <xf numFmtId="173" fontId="93" fillId="0" borderId="11" xfId="52" applyNumberFormat="1" applyFont="1" applyFill="1" applyBorder="1" applyAlignment="1">
      <alignment horizontal="right"/>
    </xf>
    <xf numFmtId="173" fontId="3" fillId="39" borderId="11" xfId="46" applyNumberFormat="1" applyFont="1" applyFill="1" applyBorder="1" applyAlignment="1">
      <alignment horizontal="right"/>
    </xf>
    <xf numFmtId="3" fontId="3" fillId="39" borderId="11" xfId="0" applyNumberFormat="1" applyFont="1" applyFill="1" applyBorder="1" applyAlignment="1">
      <alignment horizontal="right"/>
    </xf>
    <xf numFmtId="0" fontId="2" fillId="0" borderId="11" xfId="0" applyFont="1" applyBorder="1" applyAlignment="1">
      <alignment horizontal="center" vertical="center" wrapText="1"/>
    </xf>
    <xf numFmtId="183" fontId="2" fillId="0" borderId="11" xfId="0" applyNumberFormat="1" applyFont="1" applyFill="1" applyBorder="1" applyAlignment="1">
      <alignment/>
    </xf>
    <xf numFmtId="1" fontId="3" fillId="0" borderId="11" xfId="0" applyNumberFormat="1" applyFont="1" applyFill="1" applyBorder="1" applyAlignment="1">
      <alignment/>
    </xf>
    <xf numFmtId="43" fontId="3" fillId="0" borderId="11" xfId="0" applyNumberFormat="1" applyFont="1" applyFill="1" applyBorder="1" applyAlignment="1">
      <alignment horizontal="center" vertical="center"/>
    </xf>
    <xf numFmtId="3" fontId="3" fillId="38" borderId="11" xfId="0" applyNumberFormat="1" applyFont="1" applyFill="1" applyBorder="1" applyAlignment="1">
      <alignment horizontal="center"/>
    </xf>
    <xf numFmtId="172" fontId="3" fillId="38" borderId="11" xfId="0" applyNumberFormat="1" applyFont="1" applyFill="1" applyBorder="1" applyAlignment="1">
      <alignment horizontal="center"/>
    </xf>
    <xf numFmtId="172" fontId="2" fillId="0" borderId="11" xfId="0" applyNumberFormat="1" applyFont="1" applyFill="1" applyBorder="1" applyAlignment="1">
      <alignment horizontal="center"/>
    </xf>
    <xf numFmtId="173" fontId="37" fillId="0" borderId="11" xfId="46" applyNumberFormat="1" applyFont="1" applyBorder="1" applyAlignment="1">
      <alignment horizontal="center" vertical="center"/>
    </xf>
    <xf numFmtId="2" fontId="37" fillId="0" borderId="11" xfId="77" applyNumberFormat="1" applyFont="1" applyFill="1" applyBorder="1" applyAlignment="1">
      <alignment horizontal="right"/>
      <protection/>
    </xf>
    <xf numFmtId="43" fontId="37" fillId="0" borderId="11" xfId="46" applyNumberFormat="1" applyFont="1" applyFill="1" applyBorder="1" applyAlignment="1">
      <alignment horizontal="center"/>
    </xf>
    <xf numFmtId="173" fontId="37" fillId="0" borderId="11" xfId="46" applyNumberFormat="1" applyFont="1" applyFill="1" applyBorder="1" applyAlignment="1">
      <alignment horizontal="center"/>
    </xf>
    <xf numFmtId="3" fontId="37" fillId="0" borderId="11" xfId="0" applyNumberFormat="1" applyFont="1" applyFill="1" applyBorder="1" applyAlignment="1">
      <alignment horizontal="right" vertical="center"/>
    </xf>
    <xf numFmtId="0" fontId="8" fillId="36" borderId="11" xfId="0" applyFont="1" applyFill="1" applyBorder="1" applyAlignment="1">
      <alignment horizontal="center" vertical="center" wrapText="1"/>
    </xf>
    <xf numFmtId="0" fontId="8" fillId="36" borderId="11" xfId="0" applyFont="1" applyFill="1" applyBorder="1" applyAlignment="1">
      <alignment horizontal="center" vertical="center"/>
    </xf>
    <xf numFmtId="172" fontId="94" fillId="0" borderId="11" xfId="0" applyNumberFormat="1" applyFont="1" applyFill="1" applyBorder="1" applyAlignment="1">
      <alignment/>
    </xf>
    <xf numFmtId="0" fontId="18" fillId="38" borderId="11" xfId="0" applyFont="1" applyFill="1" applyBorder="1" applyAlignment="1">
      <alignment horizontal="center" vertical="center" wrapText="1"/>
    </xf>
    <xf numFmtId="0" fontId="5" fillId="0" borderId="11" xfId="78" applyFont="1" applyFill="1" applyBorder="1" applyAlignment="1">
      <alignment horizontal="left"/>
      <protection/>
    </xf>
    <xf numFmtId="0" fontId="8" fillId="36" borderId="11" xfId="0" applyFont="1" applyFill="1" applyBorder="1" applyAlignment="1">
      <alignment horizontal="center" vertical="center" wrapText="1"/>
    </xf>
    <xf numFmtId="0" fontId="8" fillId="36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35" fillId="0" borderId="0" xfId="0" applyFont="1" applyAlignment="1">
      <alignment horizontal="center" vertical="center" wrapText="1"/>
    </xf>
    <xf numFmtId="0" fontId="33" fillId="0" borderId="0" xfId="0" applyFont="1" applyAlignment="1">
      <alignment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2" fillId="36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2" fillId="36" borderId="11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/>
    </xf>
    <xf numFmtId="0" fontId="31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2" fillId="36" borderId="19" xfId="0" applyFont="1" applyFill="1" applyBorder="1" applyAlignment="1">
      <alignment horizontal="center" vertical="center" wrapText="1"/>
    </xf>
    <xf numFmtId="0" fontId="2" fillId="36" borderId="20" xfId="0" applyFont="1" applyFill="1" applyBorder="1" applyAlignment="1">
      <alignment horizontal="center" vertical="center" wrapText="1"/>
    </xf>
    <xf numFmtId="0" fontId="2" fillId="36" borderId="21" xfId="0" applyFont="1" applyFill="1" applyBorder="1" applyAlignment="1">
      <alignment horizontal="center" vertical="center" wrapText="1"/>
    </xf>
    <xf numFmtId="0" fontId="18" fillId="0" borderId="11" xfId="77" applyFont="1" applyFill="1" applyBorder="1" applyAlignment="1">
      <alignment horizontal="center" vertical="center" wrapText="1"/>
      <protection/>
    </xf>
    <xf numFmtId="0" fontId="18" fillId="0" borderId="11" xfId="0" applyFont="1" applyFill="1" applyBorder="1" applyAlignment="1">
      <alignment horizontal="center" vertical="center"/>
    </xf>
    <xf numFmtId="0" fontId="8" fillId="36" borderId="11" xfId="77" applyFont="1" applyFill="1" applyBorder="1" applyAlignment="1">
      <alignment horizontal="center" vertical="center" wrapText="1"/>
      <protection/>
    </xf>
    <xf numFmtId="0" fontId="8" fillId="35" borderId="11" xfId="77" applyFont="1" applyFill="1" applyBorder="1" applyAlignment="1">
      <alignment horizontal="center" vertical="center" wrapText="1"/>
      <protection/>
    </xf>
    <xf numFmtId="0" fontId="8" fillId="0" borderId="11" xfId="77" applyFont="1" applyFill="1" applyBorder="1" applyAlignment="1">
      <alignment horizontal="center"/>
      <protection/>
    </xf>
    <xf numFmtId="49" fontId="8" fillId="36" borderId="11" xfId="77" applyNumberFormat="1" applyFont="1" applyFill="1" applyBorder="1" applyAlignment="1">
      <alignment horizontal="center" vertical="center" wrapText="1"/>
      <protection/>
    </xf>
    <xf numFmtId="0" fontId="8" fillId="33" borderId="11" xfId="77" applyFont="1" applyFill="1" applyBorder="1" applyAlignment="1">
      <alignment horizontal="center" vertical="center" wrapText="1"/>
      <protection/>
    </xf>
    <xf numFmtId="0" fontId="8" fillId="34" borderId="11" xfId="77" applyFont="1" applyFill="1" applyBorder="1" applyAlignment="1">
      <alignment horizontal="center" vertical="center" wrapText="1"/>
      <protection/>
    </xf>
    <xf numFmtId="0" fontId="18" fillId="38" borderId="11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 wrapText="1"/>
    </xf>
    <xf numFmtId="0" fontId="18" fillId="38" borderId="11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left"/>
    </xf>
    <xf numFmtId="0" fontId="19" fillId="0" borderId="0" xfId="77" applyFont="1" applyFill="1" applyAlignment="1">
      <alignment horizontal="center" vertical="center"/>
      <protection/>
    </xf>
    <xf numFmtId="0" fontId="31" fillId="0" borderId="0" xfId="77" applyFont="1" applyFill="1" applyAlignment="1">
      <alignment horizontal="center" vertical="top"/>
      <protection/>
    </xf>
    <xf numFmtId="0" fontId="27" fillId="36" borderId="10" xfId="0" applyFont="1" applyFill="1" applyBorder="1" applyAlignment="1">
      <alignment horizontal="center"/>
    </xf>
    <xf numFmtId="49" fontId="18" fillId="0" borderId="11" xfId="77" applyNumberFormat="1" applyFont="1" applyFill="1" applyBorder="1" applyAlignment="1">
      <alignment horizontal="center" vertical="center" wrapText="1"/>
      <protection/>
    </xf>
    <xf numFmtId="0" fontId="8" fillId="0" borderId="16" xfId="77" applyFont="1" applyFill="1" applyBorder="1" applyAlignment="1">
      <alignment horizontal="center" vertical="center" wrapText="1"/>
      <protection/>
    </xf>
    <xf numFmtId="0" fontId="8" fillId="0" borderId="17" xfId="77" applyFont="1" applyFill="1" applyBorder="1" applyAlignment="1">
      <alignment horizontal="center" vertical="center" wrapText="1"/>
      <protection/>
    </xf>
    <xf numFmtId="0" fontId="8" fillId="0" borderId="18" xfId="77" applyFont="1" applyFill="1" applyBorder="1" applyAlignment="1">
      <alignment horizontal="center" vertical="center" wrapText="1"/>
      <protection/>
    </xf>
    <xf numFmtId="0" fontId="8" fillId="0" borderId="0" xfId="78" applyFont="1" applyFill="1" applyAlignment="1">
      <alignment horizontal="center"/>
      <protection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19" fillId="0" borderId="0" xfId="78" applyFont="1" applyFill="1" applyAlignment="1">
      <alignment horizontal="left"/>
      <protection/>
    </xf>
    <xf numFmtId="0" fontId="19" fillId="0" borderId="0" xfId="76" applyFont="1" applyFill="1" applyAlignment="1">
      <alignment horizontal="center"/>
      <protection/>
    </xf>
    <xf numFmtId="0" fontId="7" fillId="0" borderId="0" xfId="0" applyFont="1" applyFill="1" applyAlignment="1">
      <alignment horizontal="center" vertical="center" wrapText="1"/>
    </xf>
    <xf numFmtId="0" fontId="2" fillId="0" borderId="16" xfId="78" applyFont="1" applyFill="1" applyBorder="1" applyAlignment="1">
      <alignment horizontal="center" vertical="center" wrapText="1"/>
      <protection/>
    </xf>
    <xf numFmtId="0" fontId="2" fillId="0" borderId="17" xfId="78" applyFont="1" applyFill="1" applyBorder="1" applyAlignment="1">
      <alignment horizontal="center" vertical="center" wrapText="1"/>
      <protection/>
    </xf>
    <xf numFmtId="0" fontId="2" fillId="0" borderId="18" xfId="78" applyFont="1" applyFill="1" applyBorder="1" applyAlignment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 horizontal="left" vertical="center" wrapText="1"/>
    </xf>
    <xf numFmtId="0" fontId="8" fillId="0" borderId="11" xfId="77" applyFont="1" applyFill="1" applyBorder="1" applyAlignment="1">
      <alignment horizontal="center" vertical="center" wrapText="1"/>
      <protection/>
    </xf>
    <xf numFmtId="173" fontId="37" fillId="0" borderId="11" xfId="53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31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75">
    <cellStyle name="Normal" xfId="0"/>
    <cellStyle name="&#13;&#10;JournalTemplate=C:\COMFO\CTALK\JOURSTD.TPL&#13;&#10;LbStateAddress=3 3 0 251 1 89 2 311&#13;&#10;LbStateJou" xfId="15"/>
    <cellStyle name="&#13;&#10;JournalTemplate=C:\COMFO\CTALK\JOURSTD.TPL&#13;&#10;LbStateAddress=3 3 0 251 1 89 2 311&#13;&#10;LbStateJou 2" xfId="16"/>
    <cellStyle name="&#13;&#10;JournalTemplate=C:\COMFO\CTALK\JOURSTD.TPL&#13;&#10;LbStateAddress=3 3 0 251 1 89 2 311&#13;&#10;LbStateJou 3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Bad" xfId="42"/>
    <cellStyle name="Bình thường 2" xfId="43"/>
    <cellStyle name="Calculation" xfId="44"/>
    <cellStyle name="Check Cell" xfId="45"/>
    <cellStyle name="Comma" xfId="46"/>
    <cellStyle name="Comma [0]" xfId="47"/>
    <cellStyle name="Comma 10" xfId="48"/>
    <cellStyle name="Comma 2" xfId="49"/>
    <cellStyle name="Comma 2 2" xfId="50"/>
    <cellStyle name="Comma 3" xfId="51"/>
    <cellStyle name="Comma 3 2" xfId="52"/>
    <cellStyle name="Comma 6 2_88345_93552" xfId="53"/>
    <cellStyle name="Comma 9" xfId="54"/>
    <cellStyle name="Comma_Bieu 1-Ctieu" xfId="55"/>
    <cellStyle name="Comma_Sheet1" xfId="56"/>
    <cellStyle name="Currency" xfId="57"/>
    <cellStyle name="Currency [0]" xfId="58"/>
    <cellStyle name="Explanatory Text" xfId="59"/>
    <cellStyle name="Followed Hyperlink" xfId="60"/>
    <cellStyle name="Good" xfId="61"/>
    <cellStyle name="Heading 1" xfId="62"/>
    <cellStyle name="Heading 2" xfId="63"/>
    <cellStyle name="Heading 3" xfId="64"/>
    <cellStyle name="Heading 4" xfId="65"/>
    <cellStyle name="Hyperlink" xfId="66"/>
    <cellStyle name="Input" xfId="67"/>
    <cellStyle name="Linked Cell" xfId="68"/>
    <cellStyle name="Neutral" xfId="69"/>
    <cellStyle name="Normal 11 3" xfId="70"/>
    <cellStyle name="Normal 2" xfId="71"/>
    <cellStyle name="Normal 34" xfId="72"/>
    <cellStyle name="Normal_BC va kehoach2010-2015 danso bancuoi" xfId="73"/>
    <cellStyle name="Normal_Bieu 1-Ctieu" xfId="74"/>
    <cellStyle name="Normal_Bieu So KH 11.11.2008" xfId="75"/>
    <cellStyle name="Normal_Bieu So KH 11.11.2008_Bieu so lieu KH 2010 ((1493))" xfId="76"/>
    <cellStyle name="Normal_Chi tieu nam 2009 moi" xfId="77"/>
    <cellStyle name="Normal_Chi tieu PTSNYT và hoat dong tinh 2009" xfId="78"/>
    <cellStyle name="Normal_Chi tieu PTSNYT và hoat dong tinh 2009 H_Bieu so lieu KH 2010 ((1493))" xfId="79"/>
    <cellStyle name="Note" xfId="80"/>
    <cellStyle name="Output" xfId="81"/>
    <cellStyle name="Percent" xfId="82"/>
    <cellStyle name="Percent 2" xfId="83"/>
    <cellStyle name="Percent 3" xfId="84"/>
    <cellStyle name="Percent 3 2" xfId="85"/>
    <cellStyle name="Title" xfId="86"/>
    <cellStyle name="Total" xfId="87"/>
    <cellStyle name="Warning Text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9525</xdr:colOff>
      <xdr:row>6</xdr:row>
      <xdr:rowOff>0</xdr:rowOff>
    </xdr:from>
    <xdr:to>
      <xdr:col>29</xdr:col>
      <xdr:colOff>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18669000" y="1552575"/>
          <a:ext cx="6000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9525</xdr:colOff>
      <xdr:row>6</xdr:row>
      <xdr:rowOff>0</xdr:rowOff>
    </xdr:from>
    <xdr:to>
      <xdr:col>30</xdr:col>
      <xdr:colOff>0</xdr:colOff>
      <xdr:row>8</xdr:row>
      <xdr:rowOff>0</xdr:rowOff>
    </xdr:to>
    <xdr:sp>
      <xdr:nvSpPr>
        <xdr:cNvPr id="2" name="Line 31"/>
        <xdr:cNvSpPr>
          <a:spLocks/>
        </xdr:cNvSpPr>
      </xdr:nvSpPr>
      <xdr:spPr>
        <a:xfrm flipH="1">
          <a:off x="19278600" y="1552575"/>
          <a:ext cx="6000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0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0" y="1257300"/>
          <a:ext cx="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9"/>
  <sheetViews>
    <sheetView zoomScale="130" zoomScaleNormal="130" zoomScaleSheetLayoutView="145" zoomScalePageLayoutView="0" workbookViewId="0" topLeftCell="A1">
      <pane ySplit="7" topLeftCell="A8" activePane="bottomLeft" state="frozen"/>
      <selection pane="topLeft" activeCell="A1" sqref="A1"/>
      <selection pane="bottomLeft" activeCell="F7" sqref="F7"/>
    </sheetView>
  </sheetViews>
  <sheetFormatPr defaultColWidth="9.140625" defaultRowHeight="12.75"/>
  <cols>
    <col min="1" max="1" width="3.57421875" style="65" customWidth="1"/>
    <col min="2" max="2" width="31.7109375" style="60" bestFit="1" customWidth="1"/>
    <col min="3" max="3" width="9.57421875" style="65" customWidth="1"/>
    <col min="4" max="4" width="9.421875" style="60" customWidth="1"/>
    <col min="5" max="5" width="8.8515625" style="60" customWidth="1"/>
    <col min="6" max="6" width="7.57421875" style="60" customWidth="1"/>
    <col min="7" max="7" width="8.140625" style="60" customWidth="1"/>
    <col min="8" max="8" width="7.00390625" style="60" customWidth="1"/>
    <col min="9" max="9" width="8.28125" style="60" customWidth="1"/>
    <col min="10" max="10" width="7.7109375" style="60" customWidth="1"/>
    <col min="11" max="11" width="8.28125" style="60" customWidth="1"/>
    <col min="12" max="12" width="7.140625" style="60" customWidth="1"/>
    <col min="13" max="13" width="7.28125" style="60" customWidth="1"/>
    <col min="14" max="15" width="7.140625" style="60" customWidth="1"/>
    <col min="16" max="16" width="7.7109375" style="60" customWidth="1"/>
    <col min="17" max="17" width="7.140625" style="60" customWidth="1"/>
    <col min="18" max="18" width="10.00390625" style="60" customWidth="1"/>
    <col min="19" max="19" width="4.00390625" style="60" customWidth="1"/>
    <col min="20" max="16384" width="9.140625" style="60" customWidth="1"/>
  </cols>
  <sheetData>
    <row r="1" spans="1:18" ht="18.75" customHeight="1">
      <c r="A1" s="751" t="s">
        <v>684</v>
      </c>
      <c r="B1" s="751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</row>
    <row r="2" spans="1:18" ht="18" customHeight="1">
      <c r="A2" s="752" t="s">
        <v>696</v>
      </c>
      <c r="B2" s="753"/>
      <c r="C2" s="753"/>
      <c r="D2" s="753"/>
      <c r="E2" s="753"/>
      <c r="F2" s="753"/>
      <c r="G2" s="753"/>
      <c r="H2" s="753"/>
      <c r="I2" s="753"/>
      <c r="J2" s="753"/>
      <c r="K2" s="753"/>
      <c r="L2" s="753"/>
      <c r="M2" s="753"/>
      <c r="N2" s="753"/>
      <c r="O2" s="753"/>
      <c r="P2" s="753"/>
      <c r="Q2" s="753"/>
      <c r="R2" s="753"/>
    </row>
    <row r="3" spans="1:18" ht="18" customHeight="1">
      <c r="A3" s="754" t="s">
        <v>697</v>
      </c>
      <c r="B3" s="755"/>
      <c r="C3" s="755"/>
      <c r="D3" s="755"/>
      <c r="E3" s="755"/>
      <c r="F3" s="755"/>
      <c r="G3" s="755"/>
      <c r="H3" s="755"/>
      <c r="I3" s="755"/>
      <c r="J3" s="755"/>
      <c r="K3" s="755"/>
      <c r="L3" s="755"/>
      <c r="M3" s="755"/>
      <c r="N3" s="755"/>
      <c r="O3" s="755"/>
      <c r="P3" s="755"/>
      <c r="Q3" s="755"/>
      <c r="R3" s="755"/>
    </row>
    <row r="4" spans="1:18" ht="11.25" customHeight="1">
      <c r="A4" s="72"/>
      <c r="B4" s="73"/>
      <c r="C4" s="73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92"/>
    </row>
    <row r="5" spans="1:18" s="76" customFormat="1" ht="24.75" customHeight="1">
      <c r="A5" s="749" t="s">
        <v>623</v>
      </c>
      <c r="B5" s="750" t="s">
        <v>49</v>
      </c>
      <c r="C5" s="750" t="s">
        <v>206</v>
      </c>
      <c r="D5" s="749" t="s">
        <v>682</v>
      </c>
      <c r="E5" s="749" t="s">
        <v>683</v>
      </c>
      <c r="F5" s="749"/>
      <c r="G5" s="749"/>
      <c r="H5" s="749"/>
      <c r="I5" s="749"/>
      <c r="J5" s="749"/>
      <c r="K5" s="749"/>
      <c r="L5" s="749"/>
      <c r="M5" s="749"/>
      <c r="N5" s="749"/>
      <c r="O5" s="749"/>
      <c r="P5" s="749"/>
      <c r="Q5" s="749"/>
      <c r="R5" s="749" t="s">
        <v>692</v>
      </c>
    </row>
    <row r="6" spans="1:18" s="76" customFormat="1" ht="16.5" customHeight="1">
      <c r="A6" s="749"/>
      <c r="B6" s="750"/>
      <c r="C6" s="750"/>
      <c r="D6" s="749"/>
      <c r="E6" s="750" t="s">
        <v>2</v>
      </c>
      <c r="F6" s="749" t="s">
        <v>337</v>
      </c>
      <c r="G6" s="749"/>
      <c r="H6" s="749"/>
      <c r="I6" s="749"/>
      <c r="J6" s="749"/>
      <c r="K6" s="749"/>
      <c r="L6" s="749"/>
      <c r="M6" s="749"/>
      <c r="N6" s="749"/>
      <c r="O6" s="749"/>
      <c r="P6" s="749"/>
      <c r="Q6" s="749"/>
      <c r="R6" s="749"/>
    </row>
    <row r="7" spans="1:18" s="76" customFormat="1" ht="76.5" customHeight="1">
      <c r="A7" s="749"/>
      <c r="B7" s="750"/>
      <c r="C7" s="750"/>
      <c r="D7" s="749"/>
      <c r="E7" s="750"/>
      <c r="F7" s="744" t="s">
        <v>579</v>
      </c>
      <c r="G7" s="744" t="s">
        <v>374</v>
      </c>
      <c r="H7" s="744" t="s">
        <v>581</v>
      </c>
      <c r="I7" s="744" t="s">
        <v>550</v>
      </c>
      <c r="J7" s="744" t="s">
        <v>376</v>
      </c>
      <c r="K7" s="744" t="s">
        <v>375</v>
      </c>
      <c r="L7" s="744" t="s">
        <v>377</v>
      </c>
      <c r="M7" s="745" t="s">
        <v>378</v>
      </c>
      <c r="N7" s="744" t="s">
        <v>379</v>
      </c>
      <c r="O7" s="744" t="s">
        <v>380</v>
      </c>
      <c r="P7" s="744" t="s">
        <v>577</v>
      </c>
      <c r="Q7" s="744" t="s">
        <v>624</v>
      </c>
      <c r="R7" s="749"/>
    </row>
    <row r="8" spans="1:18" s="62" customFormat="1" ht="18.75" customHeight="1">
      <c r="A8" s="264" t="s">
        <v>202</v>
      </c>
      <c r="B8" s="265" t="s">
        <v>322</v>
      </c>
      <c r="C8" s="264"/>
      <c r="D8" s="266"/>
      <c r="E8" s="266"/>
      <c r="F8" s="266"/>
      <c r="G8" s="266"/>
      <c r="H8" s="266"/>
      <c r="I8" s="266"/>
      <c r="J8" s="266"/>
      <c r="K8" s="266"/>
      <c r="L8" s="266"/>
      <c r="M8" s="266"/>
      <c r="N8" s="266"/>
      <c r="O8" s="266"/>
      <c r="P8" s="266"/>
      <c r="Q8" s="266"/>
      <c r="R8" s="265"/>
    </row>
    <row r="9" spans="1:18" s="62" customFormat="1" ht="18.75" customHeight="1">
      <c r="A9" s="264" t="s">
        <v>191</v>
      </c>
      <c r="B9" s="265" t="s">
        <v>323</v>
      </c>
      <c r="C9" s="264"/>
      <c r="D9" s="266"/>
      <c r="E9" s="585"/>
      <c r="F9" s="267"/>
      <c r="G9" s="267"/>
      <c r="H9" s="267"/>
      <c r="I9" s="267"/>
      <c r="J9" s="267"/>
      <c r="K9" s="267"/>
      <c r="L9" s="267"/>
      <c r="M9" s="267"/>
      <c r="N9" s="267"/>
      <c r="O9" s="267"/>
      <c r="P9" s="267"/>
      <c r="Q9" s="267"/>
      <c r="R9" s="265"/>
    </row>
    <row r="10" spans="1:18" s="62" customFormat="1" ht="18.75" customHeight="1">
      <c r="A10" s="264" t="s">
        <v>199</v>
      </c>
      <c r="B10" s="265" t="s">
        <v>394</v>
      </c>
      <c r="C10" s="264" t="s">
        <v>210</v>
      </c>
      <c r="D10" s="611">
        <v>9640</v>
      </c>
      <c r="E10" s="611">
        <f aca="true" t="shared" si="0" ref="E10:Q10">E16+E32</f>
        <v>9546</v>
      </c>
      <c r="F10" s="611">
        <f t="shared" si="0"/>
        <v>431</v>
      </c>
      <c r="G10" s="611">
        <f t="shared" si="0"/>
        <v>1298</v>
      </c>
      <c r="H10" s="611">
        <f t="shared" si="0"/>
        <v>1090</v>
      </c>
      <c r="I10" s="611">
        <f t="shared" si="0"/>
        <v>520</v>
      </c>
      <c r="J10" s="611">
        <f t="shared" si="0"/>
        <v>835</v>
      </c>
      <c r="K10" s="611">
        <f t="shared" si="0"/>
        <v>1297</v>
      </c>
      <c r="L10" s="611">
        <f t="shared" si="0"/>
        <v>660</v>
      </c>
      <c r="M10" s="611">
        <f t="shared" si="0"/>
        <v>734</v>
      </c>
      <c r="N10" s="611">
        <f t="shared" si="0"/>
        <v>585</v>
      </c>
      <c r="O10" s="611">
        <f t="shared" si="0"/>
        <v>709</v>
      </c>
      <c r="P10" s="611">
        <f t="shared" si="0"/>
        <v>891</v>
      </c>
      <c r="Q10" s="611">
        <f t="shared" si="0"/>
        <v>496</v>
      </c>
      <c r="R10" s="612">
        <f>E10/D10*100</f>
        <v>99.02489626556017</v>
      </c>
    </row>
    <row r="11" spans="1:18" s="62" customFormat="1" ht="18.75" customHeight="1">
      <c r="A11" s="264" t="s">
        <v>199</v>
      </c>
      <c r="B11" s="269" t="s">
        <v>395</v>
      </c>
      <c r="C11" s="264" t="s">
        <v>209</v>
      </c>
      <c r="D11" s="440">
        <v>26733.44</v>
      </c>
      <c r="E11" s="440">
        <f aca="true" t="shared" si="1" ref="E11:Q11">E18+E34</f>
        <v>26916.106</v>
      </c>
      <c r="F11" s="385">
        <f t="shared" si="1"/>
        <v>2139.95</v>
      </c>
      <c r="G11" s="385">
        <f t="shared" si="1"/>
        <v>3651.69</v>
      </c>
      <c r="H11" s="385">
        <f t="shared" si="1"/>
        <v>3186.95</v>
      </c>
      <c r="I11" s="385">
        <f t="shared" si="1"/>
        <v>2070.6800000000003</v>
      </c>
      <c r="J11" s="385">
        <f t="shared" si="1"/>
        <v>2521.75</v>
      </c>
      <c r="K11" s="385">
        <f t="shared" si="1"/>
        <v>3082.084</v>
      </c>
      <c r="L11" s="385">
        <f t="shared" si="1"/>
        <v>1719.9</v>
      </c>
      <c r="M11" s="385">
        <f t="shared" si="1"/>
        <v>2073.84</v>
      </c>
      <c r="N11" s="385">
        <f t="shared" si="1"/>
        <v>1396.75</v>
      </c>
      <c r="O11" s="385">
        <f t="shared" si="1"/>
        <v>1833.15</v>
      </c>
      <c r="P11" s="385">
        <f t="shared" si="1"/>
        <v>2172.862</v>
      </c>
      <c r="Q11" s="385">
        <f t="shared" si="1"/>
        <v>1066.5</v>
      </c>
      <c r="R11" s="612">
        <f>E11/D11*100</f>
        <v>100.6832865504776</v>
      </c>
    </row>
    <row r="12" spans="1:18" ht="18.75" customHeight="1">
      <c r="A12" s="271"/>
      <c r="B12" s="272" t="s">
        <v>391</v>
      </c>
      <c r="C12" s="271" t="s">
        <v>209</v>
      </c>
      <c r="D12" s="292">
        <v>14812.61</v>
      </c>
      <c r="E12" s="150">
        <f>SUM(F12:Q12)</f>
        <v>15060.485999999999</v>
      </c>
      <c r="F12" s="292">
        <f aca="true" t="shared" si="2" ref="F12:Q12">F18</f>
        <v>2000.1499999999999</v>
      </c>
      <c r="G12" s="292">
        <f t="shared" si="2"/>
        <v>2282.79</v>
      </c>
      <c r="H12" s="292">
        <f t="shared" si="2"/>
        <v>2115.95</v>
      </c>
      <c r="I12" s="292">
        <f t="shared" si="2"/>
        <v>1664.68</v>
      </c>
      <c r="J12" s="292">
        <f t="shared" si="2"/>
        <v>1729.55</v>
      </c>
      <c r="K12" s="292">
        <f t="shared" si="2"/>
        <v>1607.184</v>
      </c>
      <c r="L12" s="292">
        <f t="shared" si="2"/>
        <v>611.1</v>
      </c>
      <c r="M12" s="292">
        <f t="shared" si="2"/>
        <v>988.1400000000001</v>
      </c>
      <c r="N12" s="292">
        <f t="shared" si="2"/>
        <v>309</v>
      </c>
      <c r="O12" s="292">
        <f t="shared" si="2"/>
        <v>630.9</v>
      </c>
      <c r="P12" s="292">
        <f t="shared" si="2"/>
        <v>631.192</v>
      </c>
      <c r="Q12" s="292">
        <f t="shared" si="2"/>
        <v>489.85</v>
      </c>
      <c r="R12" s="277">
        <f>E12/D12*100</f>
        <v>101.67341204554768</v>
      </c>
    </row>
    <row r="13" spans="1:18" ht="18.75" customHeight="1">
      <c r="A13" s="274" t="s">
        <v>388</v>
      </c>
      <c r="B13" s="272" t="s">
        <v>392</v>
      </c>
      <c r="C13" s="271" t="s">
        <v>209</v>
      </c>
      <c r="D13" s="150">
        <v>11972.9</v>
      </c>
      <c r="E13" s="150">
        <f>SUM(F13:Q13)</f>
        <v>12319.855999999998</v>
      </c>
      <c r="F13" s="292">
        <f aca="true" t="shared" si="3" ref="F13:Q13">F22+F26</f>
        <v>1973.8</v>
      </c>
      <c r="G13" s="292">
        <f t="shared" si="3"/>
        <v>1704.64</v>
      </c>
      <c r="H13" s="292">
        <f t="shared" si="3"/>
        <v>1686.95</v>
      </c>
      <c r="I13" s="292">
        <f t="shared" si="3"/>
        <v>1601.95</v>
      </c>
      <c r="J13" s="292">
        <f t="shared" si="3"/>
        <v>1429.55</v>
      </c>
      <c r="K13" s="292">
        <f t="shared" si="3"/>
        <v>1037.184</v>
      </c>
      <c r="L13" s="292">
        <f t="shared" si="3"/>
        <v>535.1</v>
      </c>
      <c r="M13" s="292">
        <f t="shared" si="3"/>
        <v>909.1400000000001</v>
      </c>
      <c r="N13" s="292">
        <f t="shared" si="3"/>
        <v>231</v>
      </c>
      <c r="O13" s="292">
        <f t="shared" si="3"/>
        <v>562.5</v>
      </c>
      <c r="P13" s="292">
        <f t="shared" si="3"/>
        <v>478.192</v>
      </c>
      <c r="Q13" s="292">
        <f t="shared" si="3"/>
        <v>169.85</v>
      </c>
      <c r="R13" s="273">
        <f>E13/D13*100</f>
        <v>102.89784429837381</v>
      </c>
    </row>
    <row r="14" spans="1:18" ht="17.25" customHeight="1">
      <c r="A14" s="274" t="s">
        <v>388</v>
      </c>
      <c r="B14" s="276" t="s">
        <v>393</v>
      </c>
      <c r="C14" s="271" t="s">
        <v>12</v>
      </c>
      <c r="D14" s="150">
        <v>44.8</v>
      </c>
      <c r="E14" s="150">
        <f aca="true" t="shared" si="4" ref="E14:Q14">E13/E11%</f>
        <v>45.77131625206111</v>
      </c>
      <c r="F14" s="150">
        <f t="shared" si="4"/>
        <v>92.23579990186687</v>
      </c>
      <c r="G14" s="150">
        <f t="shared" si="4"/>
        <v>46.68085187954071</v>
      </c>
      <c r="H14" s="150">
        <f t="shared" si="4"/>
        <v>52.93305511539246</v>
      </c>
      <c r="I14" s="150">
        <f t="shared" si="4"/>
        <v>77.36347480054862</v>
      </c>
      <c r="J14" s="150">
        <f t="shared" si="4"/>
        <v>56.68880737583027</v>
      </c>
      <c r="K14" s="150">
        <f t="shared" si="4"/>
        <v>33.65203544095489</v>
      </c>
      <c r="L14" s="150">
        <f t="shared" si="4"/>
        <v>31.112273969416826</v>
      </c>
      <c r="M14" s="150">
        <f t="shared" si="4"/>
        <v>43.838483200246884</v>
      </c>
      <c r="N14" s="150">
        <f t="shared" si="4"/>
        <v>16.538392697333094</v>
      </c>
      <c r="O14" s="150">
        <f t="shared" si="4"/>
        <v>30.684886670485227</v>
      </c>
      <c r="P14" s="150">
        <f t="shared" si="4"/>
        <v>22.007472172646033</v>
      </c>
      <c r="Q14" s="292">
        <f t="shared" si="4"/>
        <v>15.925925925925927</v>
      </c>
      <c r="R14" s="613">
        <f>E14-D14</f>
        <v>0.9713162520611149</v>
      </c>
    </row>
    <row r="15" spans="1:18" s="62" customFormat="1" ht="18.75" customHeight="1">
      <c r="A15" s="264">
        <v>1</v>
      </c>
      <c r="B15" s="269" t="s">
        <v>326</v>
      </c>
      <c r="C15" s="264"/>
      <c r="D15" s="439"/>
      <c r="E15" s="150"/>
      <c r="F15" s="439"/>
      <c r="G15" s="439"/>
      <c r="H15" s="439"/>
      <c r="I15" s="439"/>
      <c r="J15" s="439"/>
      <c r="K15" s="439"/>
      <c r="L15" s="439"/>
      <c r="M15" s="439"/>
      <c r="N15" s="439"/>
      <c r="O15" s="439"/>
      <c r="P15" s="439"/>
      <c r="Q15" s="439"/>
      <c r="R15" s="270"/>
    </row>
    <row r="16" spans="1:18" s="62" customFormat="1" ht="18.75" customHeight="1">
      <c r="A16" s="264" t="s">
        <v>199</v>
      </c>
      <c r="B16" s="265" t="s">
        <v>212</v>
      </c>
      <c r="C16" s="264" t="s">
        <v>210</v>
      </c>
      <c r="D16" s="439">
        <v>4448</v>
      </c>
      <c r="E16" s="385">
        <f>SUM(F16:Q16)</f>
        <v>4393</v>
      </c>
      <c r="F16" s="385">
        <f>F20+F24+F28</f>
        <v>371</v>
      </c>
      <c r="G16" s="385">
        <f aca="true" t="shared" si="5" ref="G16:Q16">G20+G24+G28</f>
        <v>713</v>
      </c>
      <c r="H16" s="385">
        <f t="shared" si="5"/>
        <v>640</v>
      </c>
      <c r="I16" s="385">
        <f t="shared" si="5"/>
        <v>345</v>
      </c>
      <c r="J16" s="385">
        <f t="shared" si="5"/>
        <v>495</v>
      </c>
      <c r="K16" s="385">
        <f t="shared" si="5"/>
        <v>627</v>
      </c>
      <c r="L16" s="385">
        <f t="shared" si="5"/>
        <v>180</v>
      </c>
      <c r="M16" s="385">
        <f t="shared" si="5"/>
        <v>264</v>
      </c>
      <c r="N16" s="385">
        <f t="shared" si="5"/>
        <v>110</v>
      </c>
      <c r="O16" s="385">
        <f t="shared" si="5"/>
        <v>184</v>
      </c>
      <c r="P16" s="385">
        <f t="shared" si="5"/>
        <v>221</v>
      </c>
      <c r="Q16" s="385">
        <f t="shared" si="5"/>
        <v>243</v>
      </c>
      <c r="R16" s="612">
        <f>E16/D16*100</f>
        <v>98.76348920863309</v>
      </c>
    </row>
    <row r="17" spans="1:18" s="62" customFormat="1" ht="18.75" customHeight="1">
      <c r="A17" s="264" t="s">
        <v>199</v>
      </c>
      <c r="B17" s="265" t="s">
        <v>397</v>
      </c>
      <c r="C17" s="264" t="s">
        <v>558</v>
      </c>
      <c r="D17" s="440">
        <v>33.3</v>
      </c>
      <c r="E17" s="440">
        <f>E18/E16*10</f>
        <v>34.28291827908035</v>
      </c>
      <c r="F17" s="439">
        <f>F18/F16*10</f>
        <v>53.912398921832875</v>
      </c>
      <c r="G17" s="385">
        <f aca="true" t="shared" si="6" ref="G17:Q17">G18/G16*10</f>
        <v>32.01669004207574</v>
      </c>
      <c r="H17" s="385">
        <f t="shared" si="6"/>
        <v>33.06171875</v>
      </c>
      <c r="I17" s="439">
        <f t="shared" si="6"/>
        <v>48.25159420289856</v>
      </c>
      <c r="J17" s="385">
        <f t="shared" si="6"/>
        <v>34.94040404040404</v>
      </c>
      <c r="K17" s="439">
        <f t="shared" si="6"/>
        <v>25.632918660287082</v>
      </c>
      <c r="L17" s="439">
        <f t="shared" si="6"/>
        <v>33.95</v>
      </c>
      <c r="M17" s="439">
        <f t="shared" si="6"/>
        <v>37.429545454545455</v>
      </c>
      <c r="N17" s="439">
        <f t="shared" si="6"/>
        <v>28.09090909090909</v>
      </c>
      <c r="O17" s="439">
        <f t="shared" si="6"/>
        <v>34.28804347826087</v>
      </c>
      <c r="P17" s="439">
        <f t="shared" si="6"/>
        <v>28.560723981900452</v>
      </c>
      <c r="Q17" s="439">
        <f t="shared" si="6"/>
        <v>20.15843621399177</v>
      </c>
      <c r="R17" s="612">
        <f>E17/D17*100</f>
        <v>102.95170654378485</v>
      </c>
    </row>
    <row r="18" spans="1:18" s="62" customFormat="1" ht="18.75" customHeight="1">
      <c r="A18" s="264" t="s">
        <v>199</v>
      </c>
      <c r="B18" s="265" t="s">
        <v>396</v>
      </c>
      <c r="C18" s="264" t="s">
        <v>209</v>
      </c>
      <c r="D18" s="440">
        <v>14812.61</v>
      </c>
      <c r="E18" s="440">
        <f>SUM(F18:Q18)</f>
        <v>15060.485999999999</v>
      </c>
      <c r="F18" s="439">
        <f>F22+F26+F30</f>
        <v>2000.1499999999999</v>
      </c>
      <c r="G18" s="439">
        <f aca="true" t="shared" si="7" ref="G18:Q18">G22+G26+G30</f>
        <v>2282.79</v>
      </c>
      <c r="H18" s="385">
        <f t="shared" si="7"/>
        <v>2115.95</v>
      </c>
      <c r="I18" s="439">
        <f t="shared" si="7"/>
        <v>1664.68</v>
      </c>
      <c r="J18" s="439">
        <f t="shared" si="7"/>
        <v>1729.55</v>
      </c>
      <c r="K18" s="439">
        <f t="shared" si="7"/>
        <v>1607.184</v>
      </c>
      <c r="L18" s="439">
        <f t="shared" si="7"/>
        <v>611.1</v>
      </c>
      <c r="M18" s="439">
        <f t="shared" si="7"/>
        <v>988.1400000000001</v>
      </c>
      <c r="N18" s="385">
        <f t="shared" si="7"/>
        <v>309</v>
      </c>
      <c r="O18" s="439">
        <f t="shared" si="7"/>
        <v>630.9</v>
      </c>
      <c r="P18" s="439">
        <f t="shared" si="7"/>
        <v>631.192</v>
      </c>
      <c r="Q18" s="439">
        <f t="shared" si="7"/>
        <v>489.85</v>
      </c>
      <c r="R18" s="612">
        <f>E18/D18*100</f>
        <v>101.67341204554768</v>
      </c>
    </row>
    <row r="19" spans="1:18" s="62" customFormat="1" ht="18.75" customHeight="1">
      <c r="A19" s="264" t="s">
        <v>193</v>
      </c>
      <c r="B19" s="265" t="s">
        <v>317</v>
      </c>
      <c r="C19" s="264"/>
      <c r="D19" s="439"/>
      <c r="E19" s="385"/>
      <c r="F19" s="385"/>
      <c r="G19" s="385"/>
      <c r="H19" s="385"/>
      <c r="I19" s="385"/>
      <c r="J19" s="385"/>
      <c r="K19" s="385"/>
      <c r="L19" s="385"/>
      <c r="M19" s="385"/>
      <c r="N19" s="385"/>
      <c r="O19" s="385"/>
      <c r="P19" s="385"/>
      <c r="Q19" s="385"/>
      <c r="R19" s="268"/>
    </row>
    <row r="20" spans="1:18" s="81" customFormat="1" ht="18.75" customHeight="1">
      <c r="A20" s="274" t="s">
        <v>388</v>
      </c>
      <c r="B20" s="272" t="s">
        <v>212</v>
      </c>
      <c r="C20" s="271" t="s">
        <v>210</v>
      </c>
      <c r="D20" s="150">
        <v>561</v>
      </c>
      <c r="E20" s="441">
        <f>SUM(F20:Q20)</f>
        <v>572</v>
      </c>
      <c r="F20" s="272">
        <v>158</v>
      </c>
      <c r="G20" s="272">
        <v>72</v>
      </c>
      <c r="H20" s="614">
        <v>85</v>
      </c>
      <c r="I20" s="615">
        <v>125</v>
      </c>
      <c r="J20" s="272">
        <v>65</v>
      </c>
      <c r="K20" s="272">
        <v>14</v>
      </c>
      <c r="L20" s="272">
        <v>10</v>
      </c>
      <c r="M20" s="616">
        <v>38</v>
      </c>
      <c r="N20" s="616"/>
      <c r="O20" s="728">
        <v>5</v>
      </c>
      <c r="P20" s="616"/>
      <c r="Q20" s="272"/>
      <c r="R20" s="277">
        <f aca="true" t="shared" si="8" ref="R20:R42">E20/D20*100</f>
        <v>101.96078431372548</v>
      </c>
    </row>
    <row r="21" spans="1:18" s="81" customFormat="1" ht="18.75" customHeight="1">
      <c r="A21" s="274" t="s">
        <v>388</v>
      </c>
      <c r="B21" s="272" t="s">
        <v>281</v>
      </c>
      <c r="C21" s="271" t="s">
        <v>558</v>
      </c>
      <c r="D21" s="377">
        <v>60.1</v>
      </c>
      <c r="E21" s="444">
        <f>E22/E20*10</f>
        <v>61.20671328671329</v>
      </c>
      <c r="F21" s="617">
        <v>66</v>
      </c>
      <c r="G21" s="618">
        <v>63.3</v>
      </c>
      <c r="H21" s="618">
        <v>55.5</v>
      </c>
      <c r="I21" s="617">
        <v>63</v>
      </c>
      <c r="J21" s="618">
        <v>60.7</v>
      </c>
      <c r="K21" s="278">
        <v>55.16</v>
      </c>
      <c r="L21" s="278">
        <v>57.5</v>
      </c>
      <c r="M21" s="278">
        <v>56.3</v>
      </c>
      <c r="N21" s="278"/>
      <c r="O21" s="619">
        <v>53</v>
      </c>
      <c r="P21" s="278"/>
      <c r="Q21" s="278"/>
      <c r="R21" s="277">
        <f t="shared" si="8"/>
        <v>101.8414530560953</v>
      </c>
    </row>
    <row r="22" spans="1:18" s="81" customFormat="1" ht="18.75" customHeight="1">
      <c r="A22" s="274" t="s">
        <v>388</v>
      </c>
      <c r="B22" s="272" t="s">
        <v>214</v>
      </c>
      <c r="C22" s="271" t="s">
        <v>209</v>
      </c>
      <c r="D22" s="442">
        <v>3371.61</v>
      </c>
      <c r="E22" s="620">
        <f>SUM(F22:M22)</f>
        <v>3501.0240000000003</v>
      </c>
      <c r="F22" s="619">
        <f>+F21*F20/10</f>
        <v>1042.8</v>
      </c>
      <c r="G22" s="278">
        <f aca="true" t="shared" si="9" ref="G22:O22">+G21*G20/10</f>
        <v>455.75999999999993</v>
      </c>
      <c r="H22" s="278">
        <f t="shared" si="9"/>
        <v>471.75</v>
      </c>
      <c r="I22" s="619">
        <f t="shared" si="9"/>
        <v>787.5</v>
      </c>
      <c r="J22" s="619">
        <f t="shared" si="9"/>
        <v>394.55</v>
      </c>
      <c r="K22" s="619">
        <f t="shared" si="9"/>
        <v>77.224</v>
      </c>
      <c r="L22" s="619">
        <f t="shared" si="9"/>
        <v>57.5</v>
      </c>
      <c r="M22" s="278">
        <f t="shared" si="9"/>
        <v>213.94</v>
      </c>
      <c r="N22" s="278"/>
      <c r="O22" s="278">
        <f t="shared" si="9"/>
        <v>26.5</v>
      </c>
      <c r="P22" s="278"/>
      <c r="Q22" s="278"/>
      <c r="R22" s="277">
        <f t="shared" si="8"/>
        <v>103.83834429248935</v>
      </c>
    </row>
    <row r="23" spans="1:18" s="62" customFormat="1" ht="18.75" customHeight="1">
      <c r="A23" s="264" t="s">
        <v>194</v>
      </c>
      <c r="B23" s="265" t="s">
        <v>215</v>
      </c>
      <c r="C23" s="279"/>
      <c r="D23" s="439"/>
      <c r="E23" s="292"/>
      <c r="F23" s="150"/>
      <c r="G23" s="150"/>
      <c r="H23" s="150"/>
      <c r="I23" s="150"/>
      <c r="J23" s="150"/>
      <c r="K23" s="150"/>
      <c r="L23" s="150"/>
      <c r="M23" s="150"/>
      <c r="N23" s="292"/>
      <c r="O23" s="292"/>
      <c r="P23" s="292"/>
      <c r="Q23" s="292"/>
      <c r="R23" s="268"/>
    </row>
    <row r="24" spans="1:18" ht="18.75" customHeight="1">
      <c r="A24" s="274" t="s">
        <v>388</v>
      </c>
      <c r="B24" s="272" t="s">
        <v>212</v>
      </c>
      <c r="C24" s="271" t="s">
        <v>210</v>
      </c>
      <c r="D24" s="377">
        <v>2031</v>
      </c>
      <c r="E24" s="443">
        <f>SUM(F24:Q24)</f>
        <v>2040</v>
      </c>
      <c r="F24" s="441">
        <v>196</v>
      </c>
      <c r="G24" s="441">
        <v>268</v>
      </c>
      <c r="H24" s="441">
        <v>280</v>
      </c>
      <c r="I24" s="441">
        <v>179</v>
      </c>
      <c r="J24" s="441">
        <v>230</v>
      </c>
      <c r="K24" s="441">
        <v>233</v>
      </c>
      <c r="L24" s="441">
        <v>120</v>
      </c>
      <c r="M24" s="441">
        <v>176</v>
      </c>
      <c r="N24" s="441">
        <v>60</v>
      </c>
      <c r="O24" s="441">
        <v>134</v>
      </c>
      <c r="P24" s="441">
        <v>121</v>
      </c>
      <c r="Q24" s="441">
        <v>43</v>
      </c>
      <c r="R24" s="277">
        <f t="shared" si="8"/>
        <v>100.44313146233384</v>
      </c>
    </row>
    <row r="25" spans="1:18" ht="18.75" customHeight="1">
      <c r="A25" s="274" t="s">
        <v>388</v>
      </c>
      <c r="B25" s="272" t="s">
        <v>213</v>
      </c>
      <c r="C25" s="271" t="s">
        <v>558</v>
      </c>
      <c r="D25" s="442">
        <v>42.35</v>
      </c>
      <c r="E25" s="377">
        <f>E26/E24*10</f>
        <v>43.09966666666667</v>
      </c>
      <c r="F25" s="278">
        <v>47.5</v>
      </c>
      <c r="G25" s="278">
        <v>46.6</v>
      </c>
      <c r="H25" s="278">
        <v>43.4</v>
      </c>
      <c r="I25" s="278">
        <v>45.5</v>
      </c>
      <c r="J25" s="619">
        <v>45</v>
      </c>
      <c r="K25" s="278">
        <v>41.2</v>
      </c>
      <c r="L25" s="278">
        <v>39.8</v>
      </c>
      <c r="M25" s="278">
        <v>39.5</v>
      </c>
      <c r="N25" s="278">
        <v>38.5</v>
      </c>
      <c r="O25" s="619">
        <v>40</v>
      </c>
      <c r="P25" s="278">
        <v>39.52</v>
      </c>
      <c r="Q25" s="278">
        <v>39.5</v>
      </c>
      <c r="R25" s="277">
        <f t="shared" si="8"/>
        <v>101.77016922471469</v>
      </c>
    </row>
    <row r="26" spans="1:18" ht="18.75" customHeight="1">
      <c r="A26" s="274" t="s">
        <v>388</v>
      </c>
      <c r="B26" s="272" t="s">
        <v>214</v>
      </c>
      <c r="C26" s="271" t="s">
        <v>209</v>
      </c>
      <c r="D26" s="442">
        <v>8601.3</v>
      </c>
      <c r="E26" s="377">
        <f>SUM(F26:Q26)</f>
        <v>8792.332</v>
      </c>
      <c r="F26" s="619">
        <f>+F25*F24/10</f>
        <v>931</v>
      </c>
      <c r="G26" s="278">
        <f aca="true" t="shared" si="10" ref="G26:Q26">+G25*G24/10</f>
        <v>1248.88</v>
      </c>
      <c r="H26" s="278">
        <f t="shared" si="10"/>
        <v>1215.2</v>
      </c>
      <c r="I26" s="278">
        <f t="shared" si="10"/>
        <v>814.45</v>
      </c>
      <c r="J26" s="619">
        <f t="shared" si="10"/>
        <v>1035</v>
      </c>
      <c r="K26" s="619">
        <f t="shared" si="10"/>
        <v>959.96</v>
      </c>
      <c r="L26" s="278">
        <f t="shared" si="10"/>
        <v>477.6</v>
      </c>
      <c r="M26" s="278">
        <f t="shared" si="10"/>
        <v>695.2</v>
      </c>
      <c r="N26" s="619">
        <f t="shared" si="10"/>
        <v>231</v>
      </c>
      <c r="O26" s="619">
        <f t="shared" si="10"/>
        <v>536</v>
      </c>
      <c r="P26" s="278">
        <f t="shared" si="10"/>
        <v>478.192</v>
      </c>
      <c r="Q26" s="278">
        <f t="shared" si="10"/>
        <v>169.85</v>
      </c>
      <c r="R26" s="277">
        <f t="shared" si="8"/>
        <v>102.22096659807241</v>
      </c>
    </row>
    <row r="27" spans="1:18" s="62" customFormat="1" ht="18.75" customHeight="1">
      <c r="A27" s="264" t="s">
        <v>195</v>
      </c>
      <c r="B27" s="269" t="s">
        <v>282</v>
      </c>
      <c r="C27" s="264"/>
      <c r="D27" s="440"/>
      <c r="E27" s="150"/>
      <c r="F27" s="440"/>
      <c r="G27" s="439"/>
      <c r="H27" s="439"/>
      <c r="I27" s="439"/>
      <c r="J27" s="439"/>
      <c r="K27" s="439"/>
      <c r="L27" s="439"/>
      <c r="M27" s="439"/>
      <c r="N27" s="439"/>
      <c r="O27" s="439"/>
      <c r="P27" s="439"/>
      <c r="Q27" s="439"/>
      <c r="R27" s="268"/>
    </row>
    <row r="28" spans="1:18" ht="18.75" customHeight="1">
      <c r="A28" s="274" t="s">
        <v>388</v>
      </c>
      <c r="B28" s="272" t="s">
        <v>212</v>
      </c>
      <c r="C28" s="271" t="s">
        <v>210</v>
      </c>
      <c r="D28" s="443">
        <v>1856</v>
      </c>
      <c r="E28" s="620">
        <f>SUM(F28:Q28)</f>
        <v>1781</v>
      </c>
      <c r="F28" s="620">
        <v>17</v>
      </c>
      <c r="G28" s="620">
        <v>373</v>
      </c>
      <c r="H28" s="620">
        <v>275</v>
      </c>
      <c r="I28" s="620">
        <v>41</v>
      </c>
      <c r="J28" s="620">
        <v>200</v>
      </c>
      <c r="K28" s="620">
        <v>380</v>
      </c>
      <c r="L28" s="620">
        <v>50</v>
      </c>
      <c r="M28" s="620">
        <v>50</v>
      </c>
      <c r="N28" s="620">
        <v>50</v>
      </c>
      <c r="O28" s="620">
        <v>45</v>
      </c>
      <c r="P28" s="726">
        <v>100</v>
      </c>
      <c r="Q28" s="726">
        <v>200</v>
      </c>
      <c r="R28" s="277">
        <f t="shared" si="8"/>
        <v>95.95905172413794</v>
      </c>
    </row>
    <row r="29" spans="1:18" ht="18.75" customHeight="1">
      <c r="A29" s="274" t="s">
        <v>388</v>
      </c>
      <c r="B29" s="272" t="s">
        <v>213</v>
      </c>
      <c r="C29" s="271" t="s">
        <v>558</v>
      </c>
      <c r="D29" s="377">
        <v>15.3</v>
      </c>
      <c r="E29" s="621">
        <f>E30*10/E28</f>
        <v>15.38815272318922</v>
      </c>
      <c r="F29" s="621">
        <v>15.5</v>
      </c>
      <c r="G29" s="621">
        <v>15.5</v>
      </c>
      <c r="H29" s="621">
        <v>15.6</v>
      </c>
      <c r="I29" s="621">
        <v>15.3</v>
      </c>
      <c r="J29" s="620">
        <v>15</v>
      </c>
      <c r="K29" s="620">
        <v>15</v>
      </c>
      <c r="L29" s="621">
        <v>15.2</v>
      </c>
      <c r="M29" s="621">
        <v>15.8</v>
      </c>
      <c r="N29" s="621">
        <v>15.6</v>
      </c>
      <c r="O29" s="621">
        <v>15.2</v>
      </c>
      <c r="P29" s="621">
        <v>15.3</v>
      </c>
      <c r="Q29" s="621">
        <v>16</v>
      </c>
      <c r="R29" s="277">
        <f t="shared" si="8"/>
        <v>100.57616158947202</v>
      </c>
    </row>
    <row r="30" spans="1:18" ht="18.75" customHeight="1">
      <c r="A30" s="274" t="s">
        <v>388</v>
      </c>
      <c r="B30" s="272" t="s">
        <v>214</v>
      </c>
      <c r="C30" s="271" t="s">
        <v>209</v>
      </c>
      <c r="D30" s="442">
        <v>2839.68</v>
      </c>
      <c r="E30" s="621">
        <f>SUM(F30:Q30)</f>
        <v>2740.63</v>
      </c>
      <c r="F30" s="621">
        <f>+F29*F28/10</f>
        <v>26.35</v>
      </c>
      <c r="G30" s="621">
        <f aca="true" t="shared" si="11" ref="G30:Q30">+G29*G28/10</f>
        <v>578.15</v>
      </c>
      <c r="H30" s="620">
        <f t="shared" si="11"/>
        <v>429</v>
      </c>
      <c r="I30" s="621">
        <f t="shared" si="11"/>
        <v>62.730000000000004</v>
      </c>
      <c r="J30" s="620">
        <f t="shared" si="11"/>
        <v>300</v>
      </c>
      <c r="K30" s="620">
        <f t="shared" si="11"/>
        <v>570</v>
      </c>
      <c r="L30" s="620">
        <f t="shared" si="11"/>
        <v>76</v>
      </c>
      <c r="M30" s="620">
        <f t="shared" si="11"/>
        <v>79</v>
      </c>
      <c r="N30" s="620">
        <f t="shared" si="11"/>
        <v>78</v>
      </c>
      <c r="O30" s="621">
        <f t="shared" si="11"/>
        <v>68.4</v>
      </c>
      <c r="P30" s="621">
        <f t="shared" si="11"/>
        <v>153</v>
      </c>
      <c r="Q30" s="620">
        <f t="shared" si="11"/>
        <v>320</v>
      </c>
      <c r="R30" s="277">
        <f t="shared" si="8"/>
        <v>96.511930921794</v>
      </c>
    </row>
    <row r="31" spans="1:18" ht="18.75" customHeight="1">
      <c r="A31" s="280">
        <v>2</v>
      </c>
      <c r="B31" s="281" t="s">
        <v>324</v>
      </c>
      <c r="C31" s="271"/>
      <c r="D31" s="150"/>
      <c r="E31" s="150"/>
      <c r="F31" s="445"/>
      <c r="G31" s="150"/>
      <c r="H31" s="292"/>
      <c r="I31" s="292"/>
      <c r="J31" s="292"/>
      <c r="K31" s="292"/>
      <c r="L31" s="292"/>
      <c r="M31" s="292"/>
      <c r="N31" s="292"/>
      <c r="O31" s="292"/>
      <c r="P31" s="292"/>
      <c r="Q31" s="292"/>
      <c r="R31" s="273"/>
    </row>
    <row r="32" spans="1:18" s="76" customFormat="1" ht="18.75" customHeight="1">
      <c r="A32" s="280" t="s">
        <v>199</v>
      </c>
      <c r="B32" s="281" t="s">
        <v>212</v>
      </c>
      <c r="C32" s="280" t="s">
        <v>210</v>
      </c>
      <c r="D32" s="384">
        <v>5192</v>
      </c>
      <c r="E32" s="385">
        <f>SUM(F32:Q32)</f>
        <v>5153</v>
      </c>
      <c r="F32" s="384">
        <f aca="true" t="shared" si="12" ref="F32:Q32">F36+F40</f>
        <v>60</v>
      </c>
      <c r="G32" s="384">
        <f t="shared" si="12"/>
        <v>585</v>
      </c>
      <c r="H32" s="384">
        <f t="shared" si="12"/>
        <v>450</v>
      </c>
      <c r="I32" s="384">
        <f t="shared" si="12"/>
        <v>175</v>
      </c>
      <c r="J32" s="384">
        <f t="shared" si="12"/>
        <v>340</v>
      </c>
      <c r="K32" s="384">
        <f t="shared" si="12"/>
        <v>670</v>
      </c>
      <c r="L32" s="384">
        <f t="shared" si="12"/>
        <v>480</v>
      </c>
      <c r="M32" s="384">
        <f t="shared" si="12"/>
        <v>470</v>
      </c>
      <c r="N32" s="384">
        <f t="shared" si="12"/>
        <v>475</v>
      </c>
      <c r="O32" s="384">
        <f t="shared" si="12"/>
        <v>525</v>
      </c>
      <c r="P32" s="384">
        <f t="shared" si="12"/>
        <v>670</v>
      </c>
      <c r="Q32" s="384">
        <f t="shared" si="12"/>
        <v>253</v>
      </c>
      <c r="R32" s="612">
        <f t="shared" si="8"/>
        <v>99.24884437596302</v>
      </c>
    </row>
    <row r="33" spans="1:18" s="62" customFormat="1" ht="18.75" customHeight="1">
      <c r="A33" s="264" t="s">
        <v>199</v>
      </c>
      <c r="B33" s="265" t="s">
        <v>213</v>
      </c>
      <c r="C33" s="264" t="s">
        <v>558</v>
      </c>
      <c r="D33" s="439">
        <v>20.4</v>
      </c>
      <c r="E33" s="440">
        <f>SUM(F33:Q33)/12</f>
        <v>23.067993579533166</v>
      </c>
      <c r="F33" s="439">
        <f>F34/F32*10</f>
        <v>23.3</v>
      </c>
      <c r="G33" s="439">
        <f aca="true" t="shared" si="13" ref="G33:Q33">G34/G32*10</f>
        <v>23.400000000000002</v>
      </c>
      <c r="H33" s="439">
        <f t="shared" si="13"/>
        <v>23.799999999999997</v>
      </c>
      <c r="I33" s="439">
        <f t="shared" si="13"/>
        <v>23.2</v>
      </c>
      <c r="J33" s="439">
        <f t="shared" si="13"/>
        <v>23.3</v>
      </c>
      <c r="K33" s="385">
        <f t="shared" si="13"/>
        <v>22.0134328358209</v>
      </c>
      <c r="L33" s="439">
        <f t="shared" si="13"/>
        <v>23.1</v>
      </c>
      <c r="M33" s="439">
        <f t="shared" si="13"/>
        <v>23.1</v>
      </c>
      <c r="N33" s="439">
        <f t="shared" si="13"/>
        <v>22.9</v>
      </c>
      <c r="O33" s="439">
        <f t="shared" si="13"/>
        <v>22.9</v>
      </c>
      <c r="P33" s="385">
        <f t="shared" si="13"/>
        <v>23.01</v>
      </c>
      <c r="Q33" s="439">
        <f t="shared" si="13"/>
        <v>22.792490118577074</v>
      </c>
      <c r="R33" s="612">
        <f t="shared" si="8"/>
        <v>113.07839989967239</v>
      </c>
    </row>
    <row r="34" spans="1:18" s="62" customFormat="1" ht="18.75" customHeight="1">
      <c r="A34" s="264" t="s">
        <v>199</v>
      </c>
      <c r="B34" s="265" t="s">
        <v>214</v>
      </c>
      <c r="C34" s="264" t="s">
        <v>209</v>
      </c>
      <c r="D34" s="439">
        <v>11920.8</v>
      </c>
      <c r="E34" s="440">
        <f>SUM(F34:Q34)</f>
        <v>11855.619999999999</v>
      </c>
      <c r="F34" s="439">
        <f>F38+F42</f>
        <v>139.8</v>
      </c>
      <c r="G34" s="439">
        <f aca="true" t="shared" si="14" ref="G34:Q34">G38+G42</f>
        <v>1368.9</v>
      </c>
      <c r="H34" s="385">
        <f t="shared" si="14"/>
        <v>1071</v>
      </c>
      <c r="I34" s="385">
        <f t="shared" si="14"/>
        <v>406</v>
      </c>
      <c r="J34" s="439">
        <f t="shared" si="14"/>
        <v>792.2</v>
      </c>
      <c r="K34" s="439">
        <f t="shared" si="14"/>
        <v>1474.9</v>
      </c>
      <c r="L34" s="439">
        <f t="shared" si="14"/>
        <v>1108.8</v>
      </c>
      <c r="M34" s="439">
        <f t="shared" si="14"/>
        <v>1085.7</v>
      </c>
      <c r="N34" s="439">
        <f t="shared" si="14"/>
        <v>1087.75</v>
      </c>
      <c r="O34" s="439">
        <f t="shared" si="14"/>
        <v>1202.25</v>
      </c>
      <c r="P34" s="439">
        <f t="shared" si="14"/>
        <v>1541.67</v>
      </c>
      <c r="Q34" s="439">
        <f t="shared" si="14"/>
        <v>576.65</v>
      </c>
      <c r="R34" s="612">
        <f t="shared" si="8"/>
        <v>99.4532246157976</v>
      </c>
    </row>
    <row r="35" spans="1:18" s="62" customFormat="1" ht="18.75" customHeight="1">
      <c r="A35" s="264" t="s">
        <v>193</v>
      </c>
      <c r="B35" s="265" t="s">
        <v>361</v>
      </c>
      <c r="C35" s="264"/>
      <c r="D35" s="439"/>
      <c r="E35" s="150"/>
      <c r="F35" s="446"/>
      <c r="G35" s="446"/>
      <c r="H35" s="446"/>
      <c r="I35" s="446"/>
      <c r="J35" s="446"/>
      <c r="K35" s="446"/>
      <c r="L35" s="446"/>
      <c r="M35" s="446"/>
      <c r="N35" s="446"/>
      <c r="O35" s="446"/>
      <c r="P35" s="446"/>
      <c r="Q35" s="446"/>
      <c r="R35" s="268"/>
    </row>
    <row r="36" spans="1:18" ht="18.75" customHeight="1">
      <c r="A36" s="271"/>
      <c r="B36" s="272" t="s">
        <v>212</v>
      </c>
      <c r="C36" s="271" t="s">
        <v>210</v>
      </c>
      <c r="D36" s="443">
        <v>132</v>
      </c>
      <c r="E36" s="620">
        <f>SUM(F36:Q36)</f>
        <v>133</v>
      </c>
      <c r="F36" s="622"/>
      <c r="G36" s="622"/>
      <c r="H36" s="623"/>
      <c r="I36" s="622"/>
      <c r="J36" s="622"/>
      <c r="K36" s="620">
        <v>130</v>
      </c>
      <c r="L36" s="622"/>
      <c r="M36" s="623"/>
      <c r="N36" s="623"/>
      <c r="O36" s="623"/>
      <c r="P36" s="623"/>
      <c r="Q36" s="620">
        <v>3</v>
      </c>
      <c r="R36" s="277">
        <f t="shared" si="8"/>
        <v>100.75757575757575</v>
      </c>
    </row>
    <row r="37" spans="1:18" ht="18.75" customHeight="1">
      <c r="A37" s="271"/>
      <c r="B37" s="272" t="s">
        <v>213</v>
      </c>
      <c r="C37" s="271" t="s">
        <v>558</v>
      </c>
      <c r="D37" s="442">
        <v>17.5</v>
      </c>
      <c r="E37" s="444">
        <f>E38/E36*10</f>
        <v>17.51127819548872</v>
      </c>
      <c r="F37" s="624"/>
      <c r="G37" s="624"/>
      <c r="H37" s="624"/>
      <c r="I37" s="624"/>
      <c r="J37" s="624"/>
      <c r="K37" s="621">
        <v>17.5</v>
      </c>
      <c r="L37" s="624"/>
      <c r="M37" s="624"/>
      <c r="N37" s="624"/>
      <c r="O37" s="624"/>
      <c r="P37" s="624"/>
      <c r="Q37" s="620">
        <v>18</v>
      </c>
      <c r="R37" s="277">
        <f t="shared" si="8"/>
        <v>100.06444683136412</v>
      </c>
    </row>
    <row r="38" spans="1:18" ht="18.75" customHeight="1">
      <c r="A38" s="271"/>
      <c r="B38" s="272" t="s">
        <v>214</v>
      </c>
      <c r="C38" s="271" t="s">
        <v>209</v>
      </c>
      <c r="D38" s="377">
        <v>231</v>
      </c>
      <c r="E38" s="621">
        <f>SUM(J38:Q38)</f>
        <v>232.9</v>
      </c>
      <c r="F38" s="625"/>
      <c r="G38" s="625"/>
      <c r="H38" s="625"/>
      <c r="I38" s="625"/>
      <c r="J38" s="625"/>
      <c r="K38" s="621">
        <f>+K37*K36/10</f>
        <v>227.5</v>
      </c>
      <c r="L38" s="625"/>
      <c r="M38" s="625"/>
      <c r="N38" s="625"/>
      <c r="O38" s="625"/>
      <c r="P38" s="625"/>
      <c r="Q38" s="621">
        <f>+Q37*Q36/10</f>
        <v>5.4</v>
      </c>
      <c r="R38" s="277">
        <f t="shared" si="8"/>
        <v>100.82251082251084</v>
      </c>
    </row>
    <row r="39" spans="1:18" s="62" customFormat="1" ht="18.75" customHeight="1">
      <c r="A39" s="264" t="s">
        <v>194</v>
      </c>
      <c r="B39" s="265" t="s">
        <v>362</v>
      </c>
      <c r="C39" s="264"/>
      <c r="D39" s="439"/>
      <c r="E39" s="150"/>
      <c r="F39" s="439"/>
      <c r="G39" s="439"/>
      <c r="H39" s="439"/>
      <c r="I39" s="439"/>
      <c r="J39" s="439"/>
      <c r="K39" s="439"/>
      <c r="L39" s="439"/>
      <c r="M39" s="439"/>
      <c r="N39" s="439"/>
      <c r="O39" s="439"/>
      <c r="P39" s="439"/>
      <c r="Q39" s="439"/>
      <c r="R39" s="268"/>
    </row>
    <row r="40" spans="1:18" ht="18.75" customHeight="1">
      <c r="A40" s="274" t="s">
        <v>388</v>
      </c>
      <c r="B40" s="272" t="s">
        <v>212</v>
      </c>
      <c r="C40" s="271" t="s">
        <v>210</v>
      </c>
      <c r="D40" s="443">
        <v>5060</v>
      </c>
      <c r="E40" s="443">
        <f>SUM(F40:Q40)</f>
        <v>5020</v>
      </c>
      <c r="F40" s="443">
        <v>60</v>
      </c>
      <c r="G40" s="443">
        <v>585</v>
      </c>
      <c r="H40" s="443">
        <v>450</v>
      </c>
      <c r="I40" s="443">
        <v>175</v>
      </c>
      <c r="J40" s="443">
        <v>340</v>
      </c>
      <c r="K40" s="443">
        <v>540</v>
      </c>
      <c r="L40" s="443">
        <v>480</v>
      </c>
      <c r="M40" s="443">
        <v>470</v>
      </c>
      <c r="N40" s="443">
        <v>475</v>
      </c>
      <c r="O40" s="443">
        <v>525</v>
      </c>
      <c r="P40" s="443">
        <v>670</v>
      </c>
      <c r="Q40" s="725">
        <v>250</v>
      </c>
      <c r="R40" s="277">
        <f t="shared" si="8"/>
        <v>99.2094861660079</v>
      </c>
    </row>
    <row r="41" spans="1:18" ht="18.75" customHeight="1">
      <c r="A41" s="274" t="s">
        <v>388</v>
      </c>
      <c r="B41" s="272" t="s">
        <v>281</v>
      </c>
      <c r="C41" s="271" t="s">
        <v>558</v>
      </c>
      <c r="D41" s="442">
        <v>23.1</v>
      </c>
      <c r="E41" s="444">
        <f>E42*10/E40</f>
        <v>23.152828685258964</v>
      </c>
      <c r="F41" s="621">
        <v>23.3</v>
      </c>
      <c r="G41" s="621">
        <v>23.4</v>
      </c>
      <c r="H41" s="621">
        <v>23.8</v>
      </c>
      <c r="I41" s="621">
        <v>23.2</v>
      </c>
      <c r="J41" s="621">
        <v>23.3</v>
      </c>
      <c r="K41" s="621">
        <v>23.1</v>
      </c>
      <c r="L41" s="621">
        <v>23.1</v>
      </c>
      <c r="M41" s="621">
        <v>23.1</v>
      </c>
      <c r="N41" s="621">
        <v>22.9</v>
      </c>
      <c r="O41" s="621">
        <v>22.9</v>
      </c>
      <c r="P41" s="621">
        <v>23.01</v>
      </c>
      <c r="Q41" s="621">
        <v>22.85</v>
      </c>
      <c r="R41" s="277">
        <f t="shared" si="8"/>
        <v>100.22869560718166</v>
      </c>
    </row>
    <row r="42" spans="1:18" ht="18.75" customHeight="1">
      <c r="A42" s="274" t="s">
        <v>388</v>
      </c>
      <c r="B42" s="272" t="s">
        <v>214</v>
      </c>
      <c r="C42" s="271" t="s">
        <v>209</v>
      </c>
      <c r="D42" s="442">
        <v>11689.83</v>
      </c>
      <c r="E42" s="621">
        <f>SUM(F42:Q42)</f>
        <v>11622.72</v>
      </c>
      <c r="F42" s="621">
        <f>+F41*F40/10</f>
        <v>139.8</v>
      </c>
      <c r="G42" s="621">
        <f aca="true" t="shared" si="15" ref="G42:Q42">+G41*G40/10</f>
        <v>1368.9</v>
      </c>
      <c r="H42" s="620">
        <f t="shared" si="15"/>
        <v>1071</v>
      </c>
      <c r="I42" s="620">
        <f t="shared" si="15"/>
        <v>406</v>
      </c>
      <c r="J42" s="621">
        <f t="shared" si="15"/>
        <v>792.2</v>
      </c>
      <c r="K42" s="621">
        <f t="shared" si="15"/>
        <v>1247.4</v>
      </c>
      <c r="L42" s="621">
        <f t="shared" si="15"/>
        <v>1108.8</v>
      </c>
      <c r="M42" s="621">
        <f t="shared" si="15"/>
        <v>1085.7</v>
      </c>
      <c r="N42" s="621">
        <f t="shared" si="15"/>
        <v>1087.75</v>
      </c>
      <c r="O42" s="621">
        <f t="shared" si="15"/>
        <v>1202.25</v>
      </c>
      <c r="P42" s="621">
        <f t="shared" si="15"/>
        <v>1541.67</v>
      </c>
      <c r="Q42" s="621">
        <f t="shared" si="15"/>
        <v>571.25</v>
      </c>
      <c r="R42" s="277">
        <f t="shared" si="8"/>
        <v>99.42591124079648</v>
      </c>
    </row>
    <row r="43" spans="1:18" s="62" customFormat="1" ht="15.75">
      <c r="A43" s="264" t="s">
        <v>196</v>
      </c>
      <c r="B43" s="265" t="s">
        <v>383</v>
      </c>
      <c r="C43" s="264"/>
      <c r="D43" s="447"/>
      <c r="E43" s="447"/>
      <c r="F43" s="447"/>
      <c r="G43" s="447"/>
      <c r="H43" s="448"/>
      <c r="I43" s="448"/>
      <c r="J43" s="448"/>
      <c r="K43" s="448"/>
      <c r="L43" s="448"/>
      <c r="M43" s="448"/>
      <c r="N43" s="447"/>
      <c r="O43" s="449"/>
      <c r="P43" s="450"/>
      <c r="Q43" s="377"/>
      <c r="R43" s="278"/>
    </row>
    <row r="44" spans="1:18" s="62" customFormat="1" ht="18.75" customHeight="1">
      <c r="A44" s="264">
        <v>1</v>
      </c>
      <c r="B44" s="265" t="s">
        <v>218</v>
      </c>
      <c r="C44" s="264"/>
      <c r="D44" s="439"/>
      <c r="E44" s="150"/>
      <c r="F44" s="439"/>
      <c r="G44" s="439"/>
      <c r="H44" s="439"/>
      <c r="I44" s="439"/>
      <c r="J44" s="439"/>
      <c r="K44" s="439"/>
      <c r="L44" s="439"/>
      <c r="M44" s="439"/>
      <c r="N44" s="439"/>
      <c r="O44" s="439"/>
      <c r="P44" s="439"/>
      <c r="Q44" s="439"/>
      <c r="R44" s="268"/>
    </row>
    <row r="45" spans="1:18" ht="18.75" customHeight="1">
      <c r="A45" s="274" t="s">
        <v>388</v>
      </c>
      <c r="B45" s="272" t="s">
        <v>212</v>
      </c>
      <c r="C45" s="271" t="s">
        <v>210</v>
      </c>
      <c r="D45" s="443">
        <v>270</v>
      </c>
      <c r="E45" s="443">
        <f>SUM(F45:Q45)</f>
        <v>345</v>
      </c>
      <c r="F45" s="443"/>
      <c r="G45" s="443">
        <v>30</v>
      </c>
      <c r="H45" s="443"/>
      <c r="I45" s="443"/>
      <c r="J45" s="443">
        <v>50</v>
      </c>
      <c r="K45" s="443"/>
      <c r="L45" s="443"/>
      <c r="M45" s="443"/>
      <c r="N45" s="443"/>
      <c r="O45" s="443"/>
      <c r="P45" s="725">
        <v>65</v>
      </c>
      <c r="Q45" s="725">
        <v>200</v>
      </c>
      <c r="R45" s="277">
        <f>E45/D45*100</f>
        <v>127.77777777777777</v>
      </c>
    </row>
    <row r="46" spans="1:18" ht="18.75" customHeight="1">
      <c r="A46" s="274" t="s">
        <v>388</v>
      </c>
      <c r="B46" s="272" t="s">
        <v>213</v>
      </c>
      <c r="C46" s="271" t="s">
        <v>558</v>
      </c>
      <c r="D46" s="377">
        <v>110</v>
      </c>
      <c r="E46" s="377">
        <f>E47*10/E45</f>
        <v>109.57971014492753</v>
      </c>
      <c r="F46" s="377"/>
      <c r="G46" s="443">
        <v>109</v>
      </c>
      <c r="H46" s="377"/>
      <c r="I46" s="377"/>
      <c r="J46" s="443">
        <v>109</v>
      </c>
      <c r="K46" s="377"/>
      <c r="L46" s="377"/>
      <c r="M46" s="377"/>
      <c r="N46" s="377"/>
      <c r="O46" s="377"/>
      <c r="P46" s="443">
        <v>109</v>
      </c>
      <c r="Q46" s="443">
        <v>110</v>
      </c>
      <c r="R46" s="277">
        <f>E46/D46*100</f>
        <v>99.61791831357048</v>
      </c>
    </row>
    <row r="47" spans="1:18" ht="18.75" customHeight="1">
      <c r="A47" s="274" t="s">
        <v>388</v>
      </c>
      <c r="B47" s="272" t="s">
        <v>214</v>
      </c>
      <c r="C47" s="271" t="s">
        <v>209</v>
      </c>
      <c r="D47" s="377">
        <v>2970</v>
      </c>
      <c r="E47" s="377">
        <f>SUM(F47:Q47)</f>
        <v>3780.5</v>
      </c>
      <c r="F47" s="443"/>
      <c r="G47" s="443">
        <f>+G46*G45/10</f>
        <v>327</v>
      </c>
      <c r="H47" s="443"/>
      <c r="I47" s="443"/>
      <c r="J47" s="443">
        <f>+J46*J45/10</f>
        <v>545</v>
      </c>
      <c r="K47" s="443"/>
      <c r="L47" s="443"/>
      <c r="M47" s="443"/>
      <c r="N47" s="443"/>
      <c r="O47" s="443"/>
      <c r="P47" s="443">
        <f>+P46*P45/10</f>
        <v>708.5</v>
      </c>
      <c r="Q47" s="443">
        <f>+Q46*Q45/10</f>
        <v>2200</v>
      </c>
      <c r="R47" s="277">
        <f>E47/D47*100</f>
        <v>127.2895622895623</v>
      </c>
    </row>
    <row r="48" spans="1:18" s="62" customFormat="1" ht="18.75" customHeight="1">
      <c r="A48" s="264">
        <v>2</v>
      </c>
      <c r="B48" s="265" t="s">
        <v>219</v>
      </c>
      <c r="C48" s="264"/>
      <c r="D48" s="439"/>
      <c r="E48" s="150"/>
      <c r="F48" s="439"/>
      <c r="G48" s="439"/>
      <c r="H48" s="439"/>
      <c r="I48" s="439"/>
      <c r="J48" s="439"/>
      <c r="K48" s="439"/>
      <c r="L48" s="439"/>
      <c r="M48" s="439"/>
      <c r="N48" s="439"/>
      <c r="O48" s="439"/>
      <c r="P48" s="439"/>
      <c r="Q48" s="439"/>
      <c r="R48" s="268"/>
    </row>
    <row r="49" spans="1:18" ht="18.75" customHeight="1">
      <c r="A49" s="274" t="s">
        <v>388</v>
      </c>
      <c r="B49" s="272" t="s">
        <v>212</v>
      </c>
      <c r="C49" s="271" t="s">
        <v>210</v>
      </c>
      <c r="D49" s="443">
        <v>64</v>
      </c>
      <c r="E49" s="443">
        <f>SUM(F49:Q49)</f>
        <v>65</v>
      </c>
      <c r="F49" s="443">
        <v>2</v>
      </c>
      <c r="G49" s="443">
        <v>6.5</v>
      </c>
      <c r="H49" s="443">
        <v>3</v>
      </c>
      <c r="I49" s="443">
        <v>7</v>
      </c>
      <c r="J49" s="443">
        <v>10</v>
      </c>
      <c r="K49" s="443">
        <v>6</v>
      </c>
      <c r="L49" s="443">
        <v>7</v>
      </c>
      <c r="M49" s="443">
        <v>4</v>
      </c>
      <c r="N49" s="443">
        <v>5</v>
      </c>
      <c r="O49" s="443">
        <v>4.5</v>
      </c>
      <c r="P49" s="443">
        <v>5</v>
      </c>
      <c r="Q49" s="443">
        <v>5</v>
      </c>
      <c r="R49" s="277">
        <f>E49/D49*100</f>
        <v>101.5625</v>
      </c>
    </row>
    <row r="50" spans="1:18" ht="18.75" customHeight="1">
      <c r="A50" s="274" t="s">
        <v>388</v>
      </c>
      <c r="B50" s="272" t="s">
        <v>213</v>
      </c>
      <c r="C50" s="271" t="s">
        <v>558</v>
      </c>
      <c r="D50" s="377">
        <v>82.9</v>
      </c>
      <c r="E50" s="377">
        <f>E51*10/E49</f>
        <v>84.5</v>
      </c>
      <c r="F50" s="377">
        <v>84.5</v>
      </c>
      <c r="G50" s="377">
        <v>84.5</v>
      </c>
      <c r="H50" s="377">
        <v>84.5</v>
      </c>
      <c r="I50" s="377">
        <v>84.5</v>
      </c>
      <c r="J50" s="377">
        <v>84.5</v>
      </c>
      <c r="K50" s="377">
        <v>84.5</v>
      </c>
      <c r="L50" s="377">
        <v>84.5</v>
      </c>
      <c r="M50" s="377">
        <v>84.5</v>
      </c>
      <c r="N50" s="377">
        <v>84.5</v>
      </c>
      <c r="O50" s="377">
        <v>84.5</v>
      </c>
      <c r="P50" s="377">
        <v>84.5</v>
      </c>
      <c r="Q50" s="377">
        <v>84.5</v>
      </c>
      <c r="R50" s="277">
        <f>E50/D50*100</f>
        <v>101.93003618817853</v>
      </c>
    </row>
    <row r="51" spans="1:18" ht="18.75" customHeight="1">
      <c r="A51" s="274" t="s">
        <v>388</v>
      </c>
      <c r="B51" s="272" t="s">
        <v>214</v>
      </c>
      <c r="C51" s="271" t="s">
        <v>209</v>
      </c>
      <c r="D51" s="377">
        <v>532.2</v>
      </c>
      <c r="E51" s="377">
        <f>SUM(F51:Q51)</f>
        <v>549.25</v>
      </c>
      <c r="F51" s="377">
        <f>F50*F49/10</f>
        <v>16.9</v>
      </c>
      <c r="G51" s="377">
        <f aca="true" t="shared" si="16" ref="G51:Q51">G50*G49/10</f>
        <v>54.925</v>
      </c>
      <c r="H51" s="377">
        <f t="shared" si="16"/>
        <v>25.35</v>
      </c>
      <c r="I51" s="377">
        <f t="shared" si="16"/>
        <v>59.15</v>
      </c>
      <c r="J51" s="377">
        <f t="shared" si="16"/>
        <v>84.5</v>
      </c>
      <c r="K51" s="377">
        <f t="shared" si="16"/>
        <v>50.7</v>
      </c>
      <c r="L51" s="377">
        <f t="shared" si="16"/>
        <v>59.15</v>
      </c>
      <c r="M51" s="377">
        <f t="shared" si="16"/>
        <v>33.8</v>
      </c>
      <c r="N51" s="377">
        <f t="shared" si="16"/>
        <v>42.25</v>
      </c>
      <c r="O51" s="377">
        <f t="shared" si="16"/>
        <v>38.025</v>
      </c>
      <c r="P51" s="377">
        <f t="shared" si="16"/>
        <v>42.25</v>
      </c>
      <c r="Q51" s="377">
        <f t="shared" si="16"/>
        <v>42.25</v>
      </c>
      <c r="R51" s="273">
        <f>E51/D51*100</f>
        <v>103.20368282600525</v>
      </c>
    </row>
    <row r="52" spans="1:18" s="62" customFormat="1" ht="18.75" customHeight="1">
      <c r="A52" s="264" t="s">
        <v>197</v>
      </c>
      <c r="B52" s="265" t="s">
        <v>216</v>
      </c>
      <c r="C52" s="264"/>
      <c r="D52" s="439"/>
      <c r="E52" s="150"/>
      <c r="F52" s="439"/>
      <c r="G52" s="439"/>
      <c r="H52" s="439"/>
      <c r="I52" s="439"/>
      <c r="J52" s="439"/>
      <c r="K52" s="439"/>
      <c r="L52" s="439"/>
      <c r="M52" s="439"/>
      <c r="N52" s="439"/>
      <c r="O52" s="439"/>
      <c r="P52" s="439"/>
      <c r="Q52" s="439"/>
      <c r="R52" s="273"/>
    </row>
    <row r="53" spans="1:18" s="62" customFormat="1" ht="18.75" customHeight="1">
      <c r="A53" s="264">
        <v>1</v>
      </c>
      <c r="B53" s="265" t="s">
        <v>217</v>
      </c>
      <c r="C53" s="264"/>
      <c r="D53" s="439"/>
      <c r="E53" s="439"/>
      <c r="F53" s="439"/>
      <c r="G53" s="439"/>
      <c r="H53" s="439"/>
      <c r="I53" s="439"/>
      <c r="J53" s="439"/>
      <c r="K53" s="439"/>
      <c r="L53" s="439"/>
      <c r="M53" s="439"/>
      <c r="N53" s="439"/>
      <c r="O53" s="439"/>
      <c r="P53" s="439"/>
      <c r="Q53" s="439"/>
      <c r="R53" s="273"/>
    </row>
    <row r="54" spans="1:18" s="62" customFormat="1" ht="18.75" customHeight="1">
      <c r="A54" s="280" t="s">
        <v>193</v>
      </c>
      <c r="B54" s="215" t="s">
        <v>325</v>
      </c>
      <c r="C54" s="264"/>
      <c r="D54" s="439"/>
      <c r="E54" s="150"/>
      <c r="F54" s="439"/>
      <c r="G54" s="439"/>
      <c r="H54" s="439"/>
      <c r="I54" s="439"/>
      <c r="J54" s="439"/>
      <c r="K54" s="439"/>
      <c r="L54" s="439"/>
      <c r="M54" s="439"/>
      <c r="N54" s="439"/>
      <c r="O54" s="439"/>
      <c r="P54" s="439"/>
      <c r="Q54" s="439"/>
      <c r="R54" s="273"/>
    </row>
    <row r="55" spans="1:18" s="62" customFormat="1" ht="18.75" customHeight="1">
      <c r="A55" s="280" t="s">
        <v>199</v>
      </c>
      <c r="B55" s="215" t="s">
        <v>212</v>
      </c>
      <c r="C55" s="280" t="s">
        <v>210</v>
      </c>
      <c r="D55" s="385">
        <v>327</v>
      </c>
      <c r="E55" s="385">
        <f>SUM(F55:Q55)</f>
        <v>325</v>
      </c>
      <c r="F55" s="385">
        <f>F59+F63</f>
        <v>12</v>
      </c>
      <c r="G55" s="385">
        <f aca="true" t="shared" si="17" ref="G55:P55">G59+G63</f>
        <v>3</v>
      </c>
      <c r="H55" s="385">
        <f t="shared" si="17"/>
        <v>5</v>
      </c>
      <c r="I55" s="385">
        <f t="shared" si="17"/>
        <v>5</v>
      </c>
      <c r="J55" s="385">
        <f t="shared" si="17"/>
        <v>20</v>
      </c>
      <c r="K55" s="385">
        <f t="shared" si="17"/>
        <v>20</v>
      </c>
      <c r="L55" s="385">
        <f t="shared" si="17"/>
        <v>30</v>
      </c>
      <c r="M55" s="385">
        <f t="shared" si="17"/>
        <v>60</v>
      </c>
      <c r="N55" s="385">
        <f t="shared" si="17"/>
        <v>50</v>
      </c>
      <c r="O55" s="385">
        <f t="shared" si="17"/>
        <v>60</v>
      </c>
      <c r="P55" s="385">
        <f t="shared" si="17"/>
        <v>60</v>
      </c>
      <c r="Q55" s="385"/>
      <c r="R55" s="612">
        <f>E55/D55*100</f>
        <v>99.38837920489296</v>
      </c>
    </row>
    <row r="56" spans="1:18" s="62" customFormat="1" ht="18.75" customHeight="1">
      <c r="A56" s="280" t="s">
        <v>199</v>
      </c>
      <c r="B56" s="215" t="s">
        <v>213</v>
      </c>
      <c r="C56" s="264" t="s">
        <v>558</v>
      </c>
      <c r="D56" s="440">
        <v>13.6</v>
      </c>
      <c r="E56" s="440">
        <f>E57/E55*10</f>
        <v>13.580615384615385</v>
      </c>
      <c r="F56" s="385">
        <f>F57/F55*10</f>
        <v>14.000000000000002</v>
      </c>
      <c r="G56" s="439">
        <f aca="true" t="shared" si="18" ref="G56:P56">G57/G55*10</f>
        <v>13.8</v>
      </c>
      <c r="H56" s="440"/>
      <c r="I56" s="439">
        <f t="shared" si="18"/>
        <v>13.7</v>
      </c>
      <c r="J56" s="439">
        <f t="shared" si="18"/>
        <v>13.7</v>
      </c>
      <c r="K56" s="439">
        <f t="shared" si="18"/>
        <v>13.599999999999998</v>
      </c>
      <c r="L56" s="439">
        <f t="shared" si="18"/>
        <v>13.599999999999998</v>
      </c>
      <c r="M56" s="439">
        <f t="shared" si="18"/>
        <v>13.5</v>
      </c>
      <c r="N56" s="439">
        <f t="shared" si="18"/>
        <v>13.5</v>
      </c>
      <c r="O56" s="439">
        <f t="shared" si="18"/>
        <v>13.599999999999998</v>
      </c>
      <c r="P56" s="440">
        <f t="shared" si="18"/>
        <v>13.513333333333335</v>
      </c>
      <c r="Q56" s="440"/>
      <c r="R56" s="612">
        <f>E56/D56*100</f>
        <v>99.85746606334843</v>
      </c>
    </row>
    <row r="57" spans="1:18" s="62" customFormat="1" ht="18.75" customHeight="1">
      <c r="A57" s="280" t="s">
        <v>199</v>
      </c>
      <c r="B57" s="215" t="s">
        <v>214</v>
      </c>
      <c r="C57" s="280" t="s">
        <v>209</v>
      </c>
      <c r="D57" s="440">
        <v>444.39</v>
      </c>
      <c r="E57" s="440">
        <f>SUM(F57:Q57)</f>
        <v>441.37</v>
      </c>
      <c r="F57" s="439">
        <f>F61+F65</f>
        <v>16.8</v>
      </c>
      <c r="G57" s="439">
        <f aca="true" t="shared" si="19" ref="G57:P57">G61+G65</f>
        <v>4.140000000000001</v>
      </c>
      <c r="H57" s="385">
        <f t="shared" si="19"/>
        <v>7</v>
      </c>
      <c r="I57" s="439">
        <f t="shared" si="19"/>
        <v>6.85</v>
      </c>
      <c r="J57" s="439">
        <f t="shared" si="19"/>
        <v>27.4</v>
      </c>
      <c r="K57" s="439">
        <f t="shared" si="19"/>
        <v>27.2</v>
      </c>
      <c r="L57" s="439">
        <f t="shared" si="19"/>
        <v>40.8</v>
      </c>
      <c r="M57" s="385">
        <f t="shared" si="19"/>
        <v>81</v>
      </c>
      <c r="N57" s="439">
        <f t="shared" si="19"/>
        <v>67.5</v>
      </c>
      <c r="O57" s="439">
        <f t="shared" si="19"/>
        <v>81.6</v>
      </c>
      <c r="P57" s="439">
        <f t="shared" si="19"/>
        <v>81.08000000000001</v>
      </c>
      <c r="Q57" s="439"/>
      <c r="R57" s="268">
        <f>E57/D57*100</f>
        <v>99.32041675105201</v>
      </c>
    </row>
    <row r="58" spans="1:18" s="62" customFormat="1" ht="18.75" customHeight="1">
      <c r="A58" s="280" t="s">
        <v>199</v>
      </c>
      <c r="B58" s="215" t="s">
        <v>220</v>
      </c>
      <c r="C58" s="280"/>
      <c r="D58" s="440"/>
      <c r="E58" s="150"/>
      <c r="F58" s="440"/>
      <c r="G58" s="440"/>
      <c r="H58" s="440"/>
      <c r="I58" s="440"/>
      <c r="J58" s="440"/>
      <c r="K58" s="440"/>
      <c r="L58" s="440"/>
      <c r="M58" s="440"/>
      <c r="N58" s="440"/>
      <c r="O58" s="440"/>
      <c r="P58" s="440"/>
      <c r="Q58" s="440"/>
      <c r="R58" s="282"/>
    </row>
    <row r="59" spans="1:18" ht="18.75" customHeight="1">
      <c r="A59" s="274" t="s">
        <v>388</v>
      </c>
      <c r="B59" s="284" t="s">
        <v>212</v>
      </c>
      <c r="C59" s="160" t="s">
        <v>210</v>
      </c>
      <c r="D59" s="443">
        <v>79</v>
      </c>
      <c r="E59" s="443">
        <f>SUM(F59:Q59)</f>
        <v>80</v>
      </c>
      <c r="F59" s="443"/>
      <c r="G59" s="443"/>
      <c r="H59" s="443"/>
      <c r="I59" s="443">
        <v>5</v>
      </c>
      <c r="J59" s="443"/>
      <c r="K59" s="443"/>
      <c r="L59" s="443">
        <v>5</v>
      </c>
      <c r="M59" s="443">
        <v>20</v>
      </c>
      <c r="N59" s="443">
        <v>10</v>
      </c>
      <c r="O59" s="443">
        <v>20</v>
      </c>
      <c r="P59" s="443">
        <v>20</v>
      </c>
      <c r="Q59" s="443"/>
      <c r="R59" s="277">
        <f>E59/D59*100</f>
        <v>101.26582278481013</v>
      </c>
    </row>
    <row r="60" spans="1:18" ht="18.75" customHeight="1">
      <c r="A60" s="274" t="s">
        <v>388</v>
      </c>
      <c r="B60" s="284" t="s">
        <v>213</v>
      </c>
      <c r="C60" s="271" t="s">
        <v>558</v>
      </c>
      <c r="D60" s="377">
        <v>13.5</v>
      </c>
      <c r="E60" s="442">
        <f>E61/E59*10</f>
        <v>13.568750000000001</v>
      </c>
      <c r="F60" s="377"/>
      <c r="G60" s="377"/>
      <c r="H60" s="377"/>
      <c r="I60" s="377">
        <v>13.7</v>
      </c>
      <c r="J60" s="377"/>
      <c r="K60" s="377"/>
      <c r="L60" s="377">
        <v>13.6</v>
      </c>
      <c r="M60" s="377">
        <v>13.5</v>
      </c>
      <c r="N60" s="377">
        <v>13.5</v>
      </c>
      <c r="O60" s="377">
        <v>13.6</v>
      </c>
      <c r="P60" s="377">
        <v>13.6</v>
      </c>
      <c r="Q60" s="377"/>
      <c r="R60" s="277">
        <f>E60/D60*100</f>
        <v>100.50925925925927</v>
      </c>
    </row>
    <row r="61" spans="1:18" ht="18.75" customHeight="1">
      <c r="A61" s="274" t="s">
        <v>388</v>
      </c>
      <c r="B61" s="284" t="s">
        <v>214</v>
      </c>
      <c r="C61" s="160" t="s">
        <v>209</v>
      </c>
      <c r="D61" s="377">
        <v>106.7</v>
      </c>
      <c r="E61" s="442">
        <f>SUM(I61:P61)</f>
        <v>108.55</v>
      </c>
      <c r="F61" s="377"/>
      <c r="G61" s="377"/>
      <c r="H61" s="377"/>
      <c r="I61" s="377">
        <f aca="true" t="shared" si="20" ref="I61:O61">+I60*I59/10</f>
        <v>6.85</v>
      </c>
      <c r="J61" s="377"/>
      <c r="K61" s="377"/>
      <c r="L61" s="377">
        <f t="shared" si="20"/>
        <v>6.8</v>
      </c>
      <c r="M61" s="377">
        <f t="shared" si="20"/>
        <v>27</v>
      </c>
      <c r="N61" s="377">
        <f t="shared" si="20"/>
        <v>13.5</v>
      </c>
      <c r="O61" s="377">
        <f t="shared" si="20"/>
        <v>27.2</v>
      </c>
      <c r="P61" s="377">
        <f>+P60*P59/10</f>
        <v>27.2</v>
      </c>
      <c r="Q61" s="377"/>
      <c r="R61" s="273">
        <f>E61/D61*100</f>
        <v>101.73383317713214</v>
      </c>
    </row>
    <row r="62" spans="1:18" s="62" customFormat="1" ht="18.75" customHeight="1">
      <c r="A62" s="280" t="s">
        <v>199</v>
      </c>
      <c r="B62" s="215" t="s">
        <v>221</v>
      </c>
      <c r="C62" s="160"/>
      <c r="D62" s="150"/>
      <c r="E62" s="150"/>
      <c r="F62" s="150"/>
      <c r="G62" s="150"/>
      <c r="H62" s="150"/>
      <c r="I62" s="150"/>
      <c r="J62" s="150"/>
      <c r="K62" s="150"/>
      <c r="L62" s="150"/>
      <c r="M62" s="150"/>
      <c r="N62" s="150"/>
      <c r="O62" s="150"/>
      <c r="P62" s="150"/>
      <c r="Q62" s="150"/>
      <c r="R62" s="174"/>
    </row>
    <row r="63" spans="1:18" ht="18.75" customHeight="1">
      <c r="A63" s="274" t="s">
        <v>388</v>
      </c>
      <c r="B63" s="284" t="s">
        <v>212</v>
      </c>
      <c r="C63" s="160" t="s">
        <v>210</v>
      </c>
      <c r="D63" s="443">
        <v>248</v>
      </c>
      <c r="E63" s="443">
        <f>SUM(F63:Q63)</f>
        <v>245</v>
      </c>
      <c r="F63" s="443">
        <v>12</v>
      </c>
      <c r="G63" s="443">
        <v>3</v>
      </c>
      <c r="H63" s="443">
        <v>5</v>
      </c>
      <c r="I63" s="443"/>
      <c r="J63" s="725">
        <v>20</v>
      </c>
      <c r="K63" s="725">
        <v>20</v>
      </c>
      <c r="L63" s="725">
        <v>25</v>
      </c>
      <c r="M63" s="443">
        <v>40</v>
      </c>
      <c r="N63" s="443">
        <v>40</v>
      </c>
      <c r="O63" s="443">
        <v>40</v>
      </c>
      <c r="P63" s="443">
        <v>40</v>
      </c>
      <c r="Q63" s="443"/>
      <c r="R63" s="277">
        <f>E63/D63*100</f>
        <v>98.79032258064517</v>
      </c>
    </row>
    <row r="64" spans="1:18" ht="18.75" customHeight="1">
      <c r="A64" s="274" t="s">
        <v>388</v>
      </c>
      <c r="B64" s="284" t="s">
        <v>213</v>
      </c>
      <c r="C64" s="271" t="s">
        <v>558</v>
      </c>
      <c r="D64" s="442">
        <v>13.62</v>
      </c>
      <c r="E64" s="442">
        <f>E65/E63*10</f>
        <v>13.584489795918365</v>
      </c>
      <c r="F64" s="443">
        <v>14</v>
      </c>
      <c r="G64" s="377">
        <v>13.8</v>
      </c>
      <c r="H64" s="443">
        <v>14</v>
      </c>
      <c r="I64" s="442"/>
      <c r="J64" s="377">
        <v>13.7</v>
      </c>
      <c r="K64" s="377">
        <v>13.6</v>
      </c>
      <c r="L64" s="377">
        <v>13.6</v>
      </c>
      <c r="M64" s="377">
        <v>13.5</v>
      </c>
      <c r="N64" s="377">
        <v>13.5</v>
      </c>
      <c r="O64" s="377">
        <v>13.6</v>
      </c>
      <c r="P64" s="442">
        <v>13.47</v>
      </c>
      <c r="Q64" s="442"/>
      <c r="R64" s="277">
        <f>E64/D64*100</f>
        <v>99.73927897150048</v>
      </c>
    </row>
    <row r="65" spans="1:18" ht="18.75" customHeight="1">
      <c r="A65" s="274" t="s">
        <v>388</v>
      </c>
      <c r="B65" s="284" t="s">
        <v>214</v>
      </c>
      <c r="C65" s="160" t="s">
        <v>209</v>
      </c>
      <c r="D65" s="442">
        <v>337.74</v>
      </c>
      <c r="E65" s="442">
        <f>SUM(F65:Q65)</f>
        <v>332.82</v>
      </c>
      <c r="F65" s="377">
        <f>+F64*F63/10</f>
        <v>16.8</v>
      </c>
      <c r="G65" s="377">
        <f aca="true" t="shared" si="21" ref="G65:P65">+G64*G63/10</f>
        <v>4.140000000000001</v>
      </c>
      <c r="H65" s="443">
        <f t="shared" si="21"/>
        <v>7</v>
      </c>
      <c r="I65" s="377"/>
      <c r="J65" s="377">
        <f t="shared" si="21"/>
        <v>27.4</v>
      </c>
      <c r="K65" s="377">
        <f t="shared" si="21"/>
        <v>27.2</v>
      </c>
      <c r="L65" s="377">
        <f t="shared" si="21"/>
        <v>34</v>
      </c>
      <c r="M65" s="443">
        <f t="shared" si="21"/>
        <v>54</v>
      </c>
      <c r="N65" s="443">
        <f t="shared" si="21"/>
        <v>54</v>
      </c>
      <c r="O65" s="377">
        <f t="shared" si="21"/>
        <v>54.4</v>
      </c>
      <c r="P65" s="377">
        <f t="shared" si="21"/>
        <v>53.88000000000001</v>
      </c>
      <c r="Q65" s="443"/>
      <c r="R65" s="273">
        <f>E65/D65*100</f>
        <v>98.54325812755374</v>
      </c>
    </row>
    <row r="66" spans="1:18" s="62" customFormat="1" ht="18.75" customHeight="1">
      <c r="A66" s="264" t="s">
        <v>194</v>
      </c>
      <c r="B66" s="265" t="s">
        <v>223</v>
      </c>
      <c r="C66" s="271"/>
      <c r="D66" s="150"/>
      <c r="E66" s="150"/>
      <c r="F66" s="150"/>
      <c r="G66" s="150"/>
      <c r="H66" s="150"/>
      <c r="I66" s="150"/>
      <c r="J66" s="150"/>
      <c r="K66" s="150"/>
      <c r="L66" s="150"/>
      <c r="M66" s="150"/>
      <c r="N66" s="150"/>
      <c r="O66" s="150"/>
      <c r="P66" s="150"/>
      <c r="Q66" s="150"/>
      <c r="R66" s="273"/>
    </row>
    <row r="67" spans="1:18" ht="18.75" customHeight="1">
      <c r="A67" s="274" t="s">
        <v>388</v>
      </c>
      <c r="B67" s="272" t="s">
        <v>212</v>
      </c>
      <c r="C67" s="271" t="s">
        <v>210</v>
      </c>
      <c r="D67" s="377">
        <v>44.5</v>
      </c>
      <c r="E67" s="443">
        <f>SUM(F67:Q67)</f>
        <v>50</v>
      </c>
      <c r="F67" s="620">
        <v>4</v>
      </c>
      <c r="G67" s="620"/>
      <c r="H67" s="620">
        <v>2</v>
      </c>
      <c r="I67" s="620">
        <v>4.5</v>
      </c>
      <c r="J67" s="620">
        <v>2.5</v>
      </c>
      <c r="K67" s="620">
        <v>7</v>
      </c>
      <c r="L67" s="620">
        <v>5</v>
      </c>
      <c r="M67" s="620">
        <v>2</v>
      </c>
      <c r="N67" s="620">
        <v>4</v>
      </c>
      <c r="O67" s="620">
        <v>9</v>
      </c>
      <c r="P67" s="620">
        <v>8</v>
      </c>
      <c r="Q67" s="620">
        <v>2</v>
      </c>
      <c r="R67" s="277">
        <f>E67/D67*100</f>
        <v>112.35955056179776</v>
      </c>
    </row>
    <row r="68" spans="1:18" ht="18.75" customHeight="1">
      <c r="A68" s="274" t="s">
        <v>388</v>
      </c>
      <c r="B68" s="272" t="s">
        <v>213</v>
      </c>
      <c r="C68" s="271" t="s">
        <v>558</v>
      </c>
      <c r="D68" s="442">
        <v>11.55</v>
      </c>
      <c r="E68" s="377">
        <f>E69/E67*10</f>
        <v>11.395999999999999</v>
      </c>
      <c r="F68" s="621">
        <v>11.6</v>
      </c>
      <c r="G68" s="444"/>
      <c r="H68" s="621">
        <v>11.6</v>
      </c>
      <c r="I68" s="621">
        <v>11.6</v>
      </c>
      <c r="J68" s="621">
        <v>11.4</v>
      </c>
      <c r="K68" s="621">
        <v>11.5</v>
      </c>
      <c r="L68" s="621">
        <v>11.3</v>
      </c>
      <c r="M68" s="621">
        <v>11.3</v>
      </c>
      <c r="N68" s="621">
        <v>11.3</v>
      </c>
      <c r="O68" s="621">
        <v>11.3</v>
      </c>
      <c r="P68" s="621">
        <v>11.3</v>
      </c>
      <c r="Q68" s="621">
        <v>11.3</v>
      </c>
      <c r="R68" s="277">
        <f>E68/D68*100</f>
        <v>98.66666666666664</v>
      </c>
    </row>
    <row r="69" spans="1:18" ht="18.75" customHeight="1">
      <c r="A69" s="274" t="s">
        <v>388</v>
      </c>
      <c r="B69" s="272" t="s">
        <v>214</v>
      </c>
      <c r="C69" s="271" t="s">
        <v>209</v>
      </c>
      <c r="D69" s="442">
        <v>51.39</v>
      </c>
      <c r="E69" s="443">
        <f>SUM(F69:Q69)</f>
        <v>56.98</v>
      </c>
      <c r="F69" s="620">
        <f>+F68*F67/10</f>
        <v>4.64</v>
      </c>
      <c r="G69" s="620"/>
      <c r="H69" s="621">
        <f aca="true" t="shared" si="22" ref="H69:Q69">+H68*H67/10</f>
        <v>2.32</v>
      </c>
      <c r="I69" s="621">
        <f t="shared" si="22"/>
        <v>5.22</v>
      </c>
      <c r="J69" s="621">
        <f t="shared" si="22"/>
        <v>2.85</v>
      </c>
      <c r="K69" s="621">
        <f t="shared" si="22"/>
        <v>8.05</v>
      </c>
      <c r="L69" s="621">
        <f t="shared" si="22"/>
        <v>5.65</v>
      </c>
      <c r="M69" s="621">
        <f t="shared" si="22"/>
        <v>2.2600000000000002</v>
      </c>
      <c r="N69" s="621">
        <f t="shared" si="22"/>
        <v>4.5200000000000005</v>
      </c>
      <c r="O69" s="621">
        <f t="shared" si="22"/>
        <v>10.17</v>
      </c>
      <c r="P69" s="620">
        <f t="shared" si="22"/>
        <v>9.040000000000001</v>
      </c>
      <c r="Q69" s="621">
        <f t="shared" si="22"/>
        <v>2.2600000000000002</v>
      </c>
      <c r="R69" s="273">
        <f>E69/D69*100</f>
        <v>110.87760264642925</v>
      </c>
    </row>
    <row r="70" spans="1:18" s="62" customFormat="1" ht="18.75" customHeight="1" hidden="1">
      <c r="A70" s="264" t="s">
        <v>195</v>
      </c>
      <c r="B70" s="265" t="s">
        <v>222</v>
      </c>
      <c r="C70" s="271"/>
      <c r="D70" s="150"/>
      <c r="E70" s="150"/>
      <c r="F70" s="150"/>
      <c r="G70" s="150"/>
      <c r="H70" s="150"/>
      <c r="I70" s="150"/>
      <c r="J70" s="150"/>
      <c r="K70" s="150"/>
      <c r="L70" s="150"/>
      <c r="M70" s="150"/>
      <c r="N70" s="150"/>
      <c r="O70" s="150"/>
      <c r="P70" s="150"/>
      <c r="Q70" s="150"/>
      <c r="R70" s="273"/>
    </row>
    <row r="71" spans="1:18" ht="18.75" customHeight="1" hidden="1">
      <c r="A71" s="264"/>
      <c r="B71" s="272" t="s">
        <v>212</v>
      </c>
      <c r="C71" s="271" t="s">
        <v>210</v>
      </c>
      <c r="D71" s="292">
        <v>26</v>
      </c>
      <c r="E71" s="292">
        <f>SUM(F71:Q71)</f>
        <v>0</v>
      </c>
      <c r="F71" s="292"/>
      <c r="G71" s="292"/>
      <c r="H71" s="292"/>
      <c r="I71" s="292"/>
      <c r="J71" s="292">
        <v>0</v>
      </c>
      <c r="K71" s="292"/>
      <c r="L71" s="292"/>
      <c r="M71" s="292"/>
      <c r="N71" s="292"/>
      <c r="O71" s="292"/>
      <c r="P71" s="292"/>
      <c r="Q71" s="292">
        <v>0</v>
      </c>
      <c r="R71" s="273" t="e">
        <f>#REF!/D71%</f>
        <v>#REF!</v>
      </c>
    </row>
    <row r="72" spans="1:18" ht="18.75" customHeight="1" hidden="1">
      <c r="A72" s="264"/>
      <c r="B72" s="272" t="s">
        <v>213</v>
      </c>
      <c r="C72" s="271" t="s">
        <v>211</v>
      </c>
      <c r="D72" s="150">
        <v>3.8</v>
      </c>
      <c r="E72" s="150">
        <f>SUM(F72:Q72)/2</f>
        <v>0</v>
      </c>
      <c r="F72" s="150"/>
      <c r="G72" s="150"/>
      <c r="H72" s="150"/>
      <c r="I72" s="150"/>
      <c r="J72" s="150">
        <v>0</v>
      </c>
      <c r="K72" s="150"/>
      <c r="L72" s="150"/>
      <c r="M72" s="150"/>
      <c r="N72" s="150"/>
      <c r="O72" s="150"/>
      <c r="P72" s="150"/>
      <c r="Q72" s="150">
        <v>0</v>
      </c>
      <c r="R72" s="273" t="e">
        <f>#REF!/D72%</f>
        <v>#REF!</v>
      </c>
    </row>
    <row r="73" spans="1:18" ht="18.75" customHeight="1" hidden="1">
      <c r="A73" s="264"/>
      <c r="B73" s="272" t="s">
        <v>214</v>
      </c>
      <c r="C73" s="271" t="s">
        <v>209</v>
      </c>
      <c r="D73" s="445">
        <f>D71*D72/10</f>
        <v>9.879999999999999</v>
      </c>
      <c r="E73" s="150">
        <f>SUM(F73:Q73)</f>
        <v>0</v>
      </c>
      <c r="F73" s="150"/>
      <c r="G73" s="150"/>
      <c r="H73" s="150"/>
      <c r="I73" s="150"/>
      <c r="J73" s="150">
        <f>J71*J72/10</f>
        <v>0</v>
      </c>
      <c r="K73" s="150"/>
      <c r="L73" s="150"/>
      <c r="M73" s="150"/>
      <c r="N73" s="150"/>
      <c r="O73" s="150"/>
      <c r="P73" s="150"/>
      <c r="Q73" s="150">
        <f>Q71*Q72/10</f>
        <v>0</v>
      </c>
      <c r="R73" s="273" t="e">
        <f>#REF!/D73%</f>
        <v>#REF!</v>
      </c>
    </row>
    <row r="74" spans="1:18" ht="18.75" customHeight="1">
      <c r="A74" s="264">
        <v>2</v>
      </c>
      <c r="B74" s="265" t="s">
        <v>559</v>
      </c>
      <c r="C74" s="264"/>
      <c r="D74" s="150"/>
      <c r="E74" s="150"/>
      <c r="F74" s="150"/>
      <c r="G74" s="150"/>
      <c r="H74" s="150"/>
      <c r="I74" s="150"/>
      <c r="J74" s="150"/>
      <c r="K74" s="150"/>
      <c r="L74" s="150"/>
      <c r="M74" s="150"/>
      <c r="N74" s="150"/>
      <c r="O74" s="150"/>
      <c r="P74" s="150"/>
      <c r="Q74" s="150"/>
      <c r="R74" s="273"/>
    </row>
    <row r="75" spans="1:19" s="62" customFormat="1" ht="18.75" customHeight="1">
      <c r="A75" s="264" t="s">
        <v>199</v>
      </c>
      <c r="B75" s="265" t="s">
        <v>369</v>
      </c>
      <c r="C75" s="264"/>
      <c r="D75" s="439"/>
      <c r="E75" s="150"/>
      <c r="F75" s="439"/>
      <c r="G75" s="439"/>
      <c r="H75" s="439"/>
      <c r="I75" s="439"/>
      <c r="J75" s="439"/>
      <c r="K75" s="439"/>
      <c r="L75" s="439"/>
      <c r="M75" s="439"/>
      <c r="N75" s="439"/>
      <c r="O75" s="439"/>
      <c r="P75" s="439"/>
      <c r="Q75" s="439"/>
      <c r="R75" s="273"/>
      <c r="S75" s="93"/>
    </row>
    <row r="76" spans="1:19" s="87" customFormat="1" ht="18.75" customHeight="1">
      <c r="A76" s="274" t="s">
        <v>388</v>
      </c>
      <c r="B76" s="284" t="s">
        <v>212</v>
      </c>
      <c r="C76" s="160" t="s">
        <v>210</v>
      </c>
      <c r="D76" s="444">
        <v>595.89</v>
      </c>
      <c r="E76" s="444">
        <v>595.89</v>
      </c>
      <c r="F76" s="177"/>
      <c r="G76" s="177"/>
      <c r="H76" s="177"/>
      <c r="I76" s="177"/>
      <c r="J76" s="177"/>
      <c r="K76" s="177"/>
      <c r="L76" s="177"/>
      <c r="M76" s="177"/>
      <c r="N76" s="177"/>
      <c r="O76" s="177"/>
      <c r="P76" s="177"/>
      <c r="Q76" s="177"/>
      <c r="R76" s="275">
        <f aca="true" t="shared" si="23" ref="R76:R91">E76/D76*100</f>
        <v>100</v>
      </c>
      <c r="S76" s="93"/>
    </row>
    <row r="77" spans="1:19" ht="18.75" customHeight="1">
      <c r="A77" s="274" t="s">
        <v>388</v>
      </c>
      <c r="B77" s="272" t="s">
        <v>224</v>
      </c>
      <c r="C77" s="271" t="s">
        <v>209</v>
      </c>
      <c r="D77" s="442">
        <v>68</v>
      </c>
      <c r="E77" s="443">
        <v>80</v>
      </c>
      <c r="F77" s="150"/>
      <c r="G77" s="150"/>
      <c r="H77" s="150"/>
      <c r="I77" s="150"/>
      <c r="J77" s="150"/>
      <c r="K77" s="150"/>
      <c r="L77" s="150"/>
      <c r="M77" s="150"/>
      <c r="N77" s="150"/>
      <c r="O77" s="150"/>
      <c r="P77" s="150"/>
      <c r="Q77" s="150"/>
      <c r="R77" s="277">
        <f t="shared" si="23"/>
        <v>117.64705882352942</v>
      </c>
      <c r="S77" s="93"/>
    </row>
    <row r="78" spans="1:19" ht="18.75" customHeight="1">
      <c r="A78" s="274" t="s">
        <v>388</v>
      </c>
      <c r="B78" s="272" t="s">
        <v>384</v>
      </c>
      <c r="C78" s="271" t="s">
        <v>209</v>
      </c>
      <c r="D78" s="442">
        <f>D77/6</f>
        <v>11.333333333333334</v>
      </c>
      <c r="E78" s="442">
        <f>E77/6</f>
        <v>13.333333333333334</v>
      </c>
      <c r="F78" s="150"/>
      <c r="G78" s="150"/>
      <c r="H78" s="150"/>
      <c r="I78" s="150"/>
      <c r="J78" s="150"/>
      <c r="K78" s="150"/>
      <c r="L78" s="150"/>
      <c r="M78" s="150"/>
      <c r="N78" s="150"/>
      <c r="O78" s="150"/>
      <c r="P78" s="150"/>
      <c r="Q78" s="150"/>
      <c r="R78" s="277">
        <f t="shared" si="23"/>
        <v>117.64705882352942</v>
      </c>
      <c r="S78" s="93"/>
    </row>
    <row r="79" spans="1:18" s="222" customFormat="1" ht="18" customHeight="1">
      <c r="A79" s="285" t="s">
        <v>198</v>
      </c>
      <c r="B79" s="286" t="s">
        <v>386</v>
      </c>
      <c r="C79" s="285" t="s">
        <v>210</v>
      </c>
      <c r="D79" s="287"/>
      <c r="E79" s="287">
        <v>40</v>
      </c>
      <c r="F79" s="452"/>
      <c r="G79" s="452"/>
      <c r="H79" s="452"/>
      <c r="I79" s="452"/>
      <c r="J79" s="452"/>
      <c r="K79" s="452"/>
      <c r="L79" s="452"/>
      <c r="M79" s="452"/>
      <c r="N79" s="443"/>
      <c r="O79" s="453"/>
      <c r="P79" s="454"/>
      <c r="Q79" s="454"/>
      <c r="R79" s="288"/>
    </row>
    <row r="80" spans="1:18" ht="18.75" customHeight="1">
      <c r="A80" s="264" t="s">
        <v>156</v>
      </c>
      <c r="B80" s="265" t="s">
        <v>225</v>
      </c>
      <c r="C80" s="264"/>
      <c r="D80" s="385">
        <v>337428</v>
      </c>
      <c r="E80" s="385">
        <f aca="true" t="shared" si="24" ref="E80:E86">SUM(F80:Q80)</f>
        <v>355497</v>
      </c>
      <c r="F80" s="385">
        <f aca="true" t="shared" si="25" ref="F80:Q80">SUM(F81:F86)</f>
        <v>23438</v>
      </c>
      <c r="G80" s="385">
        <f t="shared" si="25"/>
        <v>20135</v>
      </c>
      <c r="H80" s="385">
        <f t="shared" si="25"/>
        <v>40635</v>
      </c>
      <c r="I80" s="385">
        <f t="shared" si="25"/>
        <v>31059</v>
      </c>
      <c r="J80" s="385">
        <f t="shared" si="25"/>
        <v>33946</v>
      </c>
      <c r="K80" s="385">
        <f t="shared" si="25"/>
        <v>42793</v>
      </c>
      <c r="L80" s="385">
        <f t="shared" si="25"/>
        <v>28714</v>
      </c>
      <c r="M80" s="385">
        <f t="shared" si="25"/>
        <v>30352</v>
      </c>
      <c r="N80" s="385">
        <f t="shared" si="25"/>
        <v>15868</v>
      </c>
      <c r="O80" s="385">
        <f t="shared" si="25"/>
        <v>39405</v>
      </c>
      <c r="P80" s="385">
        <f t="shared" si="25"/>
        <v>28255</v>
      </c>
      <c r="Q80" s="385">
        <f t="shared" si="25"/>
        <v>20897</v>
      </c>
      <c r="R80" s="612">
        <f t="shared" si="23"/>
        <v>105.35492016074541</v>
      </c>
    </row>
    <row r="81" spans="1:18" ht="18.75" customHeight="1">
      <c r="A81" s="271">
        <v>1</v>
      </c>
      <c r="B81" s="272" t="s">
        <v>226</v>
      </c>
      <c r="C81" s="271" t="s">
        <v>227</v>
      </c>
      <c r="D81" s="443">
        <v>14507</v>
      </c>
      <c r="E81" s="620">
        <f t="shared" si="24"/>
        <v>14716</v>
      </c>
      <c r="F81" s="443">
        <v>731</v>
      </c>
      <c r="G81" s="443">
        <v>1796</v>
      </c>
      <c r="H81" s="443">
        <v>1701</v>
      </c>
      <c r="I81" s="443">
        <v>930</v>
      </c>
      <c r="J81" s="443">
        <v>1773</v>
      </c>
      <c r="K81" s="443">
        <v>1704</v>
      </c>
      <c r="L81" s="443">
        <v>1205</v>
      </c>
      <c r="M81" s="443">
        <v>1190</v>
      </c>
      <c r="N81" s="443">
        <v>645</v>
      </c>
      <c r="O81" s="443">
        <v>890</v>
      </c>
      <c r="P81" s="443">
        <v>1280</v>
      </c>
      <c r="Q81" s="443">
        <v>871</v>
      </c>
      <c r="R81" s="277">
        <f t="shared" si="23"/>
        <v>101.44068380781692</v>
      </c>
    </row>
    <row r="82" spans="1:18" ht="18.75" customHeight="1">
      <c r="A82" s="271">
        <v>2</v>
      </c>
      <c r="B82" s="272" t="s">
        <v>228</v>
      </c>
      <c r="C82" s="271" t="s">
        <v>227</v>
      </c>
      <c r="D82" s="443">
        <v>3186</v>
      </c>
      <c r="E82" s="443">
        <f t="shared" si="24"/>
        <v>3216</v>
      </c>
      <c r="F82" s="443">
        <v>232</v>
      </c>
      <c r="G82" s="443">
        <v>455</v>
      </c>
      <c r="H82" s="443">
        <v>434</v>
      </c>
      <c r="I82" s="443">
        <v>134</v>
      </c>
      <c r="J82" s="443">
        <v>172</v>
      </c>
      <c r="K82" s="443">
        <v>379</v>
      </c>
      <c r="L82" s="443">
        <v>185</v>
      </c>
      <c r="M82" s="443">
        <v>174</v>
      </c>
      <c r="N82" s="443">
        <v>217</v>
      </c>
      <c r="O82" s="443">
        <v>314</v>
      </c>
      <c r="P82" s="443">
        <v>322</v>
      </c>
      <c r="Q82" s="443">
        <v>198</v>
      </c>
      <c r="R82" s="277">
        <f t="shared" si="23"/>
        <v>100.94161958568739</v>
      </c>
    </row>
    <row r="83" spans="1:18" ht="18.75" customHeight="1">
      <c r="A83" s="291">
        <v>3</v>
      </c>
      <c r="B83" s="586" t="s">
        <v>229</v>
      </c>
      <c r="C83" s="291" t="s">
        <v>227</v>
      </c>
      <c r="D83" s="722">
        <v>44532</v>
      </c>
      <c r="E83" s="443">
        <f t="shared" si="24"/>
        <v>49165</v>
      </c>
      <c r="F83" s="722">
        <v>2100</v>
      </c>
      <c r="G83" s="722">
        <v>4010</v>
      </c>
      <c r="H83" s="722">
        <v>5080</v>
      </c>
      <c r="I83" s="729">
        <v>1000</v>
      </c>
      <c r="J83" s="722">
        <v>3945</v>
      </c>
      <c r="K83" s="722">
        <v>7030</v>
      </c>
      <c r="L83" s="722">
        <v>5400</v>
      </c>
      <c r="M83" s="722">
        <v>4700</v>
      </c>
      <c r="N83" s="722">
        <v>3400</v>
      </c>
      <c r="O83" s="722">
        <v>4300</v>
      </c>
      <c r="P83" s="722">
        <v>4200</v>
      </c>
      <c r="Q83" s="729">
        <v>4000</v>
      </c>
      <c r="R83" s="277">
        <f t="shared" si="23"/>
        <v>110.40375460343124</v>
      </c>
    </row>
    <row r="84" spans="1:18" s="62" customFormat="1" ht="18.75" customHeight="1">
      <c r="A84" s="271">
        <v>4</v>
      </c>
      <c r="B84" s="272" t="s">
        <v>230</v>
      </c>
      <c r="C84" s="271" t="s">
        <v>227</v>
      </c>
      <c r="D84" s="443">
        <v>20525</v>
      </c>
      <c r="E84" s="443">
        <f t="shared" si="24"/>
        <v>21583</v>
      </c>
      <c r="F84" s="443">
        <f>46+267</f>
        <v>313</v>
      </c>
      <c r="G84" s="443">
        <f>46+2569</f>
        <v>2615</v>
      </c>
      <c r="H84" s="443">
        <f>46+2359</f>
        <v>2405</v>
      </c>
      <c r="I84" s="443">
        <f>46+797</f>
        <v>843</v>
      </c>
      <c r="J84" s="443">
        <f>1853+46</f>
        <v>1899</v>
      </c>
      <c r="K84" s="443">
        <v>3045</v>
      </c>
      <c r="L84" s="443">
        <f>46+1738</f>
        <v>1784</v>
      </c>
      <c r="M84" s="443">
        <f>46+2167</f>
        <v>2213</v>
      </c>
      <c r="N84" s="443">
        <f>46+1884</f>
        <v>1930</v>
      </c>
      <c r="O84" s="443">
        <f>46+1441</f>
        <v>1487</v>
      </c>
      <c r="P84" s="443">
        <f>46+1453</f>
        <v>1499</v>
      </c>
      <c r="Q84" s="443">
        <f>46+1504</f>
        <v>1550</v>
      </c>
      <c r="R84" s="277">
        <f t="shared" si="23"/>
        <v>105.15468940316688</v>
      </c>
    </row>
    <row r="85" spans="1:18" s="62" customFormat="1" ht="18.75" customHeight="1">
      <c r="A85" s="271">
        <v>5</v>
      </c>
      <c r="B85" s="272" t="s">
        <v>385</v>
      </c>
      <c r="C85" s="271" t="s">
        <v>227</v>
      </c>
      <c r="D85" s="443">
        <v>165</v>
      </c>
      <c r="E85" s="443">
        <f t="shared" si="24"/>
        <v>183</v>
      </c>
      <c r="F85" s="723">
        <v>12</v>
      </c>
      <c r="G85" s="724">
        <v>9</v>
      </c>
      <c r="H85" s="724">
        <v>15</v>
      </c>
      <c r="I85" s="724">
        <v>2</v>
      </c>
      <c r="J85" s="724">
        <v>7</v>
      </c>
      <c r="K85" s="724">
        <v>45</v>
      </c>
      <c r="L85" s="724"/>
      <c r="M85" s="724">
        <v>55</v>
      </c>
      <c r="N85" s="724">
        <v>6</v>
      </c>
      <c r="O85" s="724">
        <v>14</v>
      </c>
      <c r="P85" s="727">
        <v>10</v>
      </c>
      <c r="Q85" s="724">
        <v>8</v>
      </c>
      <c r="R85" s="277">
        <f t="shared" si="23"/>
        <v>110.9090909090909</v>
      </c>
    </row>
    <row r="86" spans="1:18" s="62" customFormat="1" ht="18.75" customHeight="1">
      <c r="A86" s="271">
        <v>6</v>
      </c>
      <c r="B86" s="272" t="s">
        <v>318</v>
      </c>
      <c r="C86" s="271" t="s">
        <v>227</v>
      </c>
      <c r="D86" s="443">
        <v>254813</v>
      </c>
      <c r="E86" s="443">
        <f t="shared" si="24"/>
        <v>266634</v>
      </c>
      <c r="F86" s="443">
        <v>20050</v>
      </c>
      <c r="G86" s="443">
        <v>11250</v>
      </c>
      <c r="H86" s="443">
        <v>31000</v>
      </c>
      <c r="I86" s="443">
        <v>28150</v>
      </c>
      <c r="J86" s="443">
        <v>26150</v>
      </c>
      <c r="K86" s="443">
        <v>30590</v>
      </c>
      <c r="L86" s="443">
        <v>20140</v>
      </c>
      <c r="M86" s="443">
        <v>22020</v>
      </c>
      <c r="N86" s="443">
        <v>9670</v>
      </c>
      <c r="O86" s="443">
        <v>32400</v>
      </c>
      <c r="P86" s="443">
        <f>19738+1920-714</f>
        <v>20944</v>
      </c>
      <c r="Q86" s="443">
        <f>13064+1920-714</f>
        <v>14270</v>
      </c>
      <c r="R86" s="277">
        <f t="shared" si="23"/>
        <v>104.63908827257636</v>
      </c>
    </row>
    <row r="87" spans="1:18" s="62" customFormat="1" ht="18.75" customHeight="1">
      <c r="A87" s="264" t="s">
        <v>158</v>
      </c>
      <c r="B87" s="265" t="s">
        <v>231</v>
      </c>
      <c r="C87" s="264"/>
      <c r="D87" s="439"/>
      <c r="E87" s="292"/>
      <c r="F87" s="385"/>
      <c r="G87" s="385"/>
      <c r="H87" s="385"/>
      <c r="I87" s="385"/>
      <c r="J87" s="385"/>
      <c r="K87" s="385"/>
      <c r="L87" s="385"/>
      <c r="M87" s="385"/>
      <c r="N87" s="385"/>
      <c r="O87" s="385"/>
      <c r="P87" s="385"/>
      <c r="Q87" s="385"/>
      <c r="R87" s="273"/>
    </row>
    <row r="88" spans="1:18" ht="18.75" customHeight="1">
      <c r="A88" s="271">
        <v>1</v>
      </c>
      <c r="B88" s="272" t="s">
        <v>232</v>
      </c>
      <c r="C88" s="271" t="s">
        <v>210</v>
      </c>
      <c r="D88" s="292">
        <v>70</v>
      </c>
      <c r="E88" s="292">
        <f>SUM(F88:Q88)</f>
        <v>69.97</v>
      </c>
      <c r="F88" s="150">
        <v>12.6</v>
      </c>
      <c r="G88" s="150">
        <v>6.4</v>
      </c>
      <c r="H88" s="150">
        <v>13.25</v>
      </c>
      <c r="I88" s="292">
        <v>15.99</v>
      </c>
      <c r="J88" s="292">
        <v>12</v>
      </c>
      <c r="K88" s="292">
        <v>3</v>
      </c>
      <c r="L88" s="150">
        <v>1.2</v>
      </c>
      <c r="M88" s="150">
        <v>1.5</v>
      </c>
      <c r="N88" s="150"/>
      <c r="O88" s="292">
        <v>1.03</v>
      </c>
      <c r="P88" s="292">
        <v>1</v>
      </c>
      <c r="Q88" s="292">
        <v>2</v>
      </c>
      <c r="R88" s="277">
        <f t="shared" si="23"/>
        <v>99.95714285714286</v>
      </c>
    </row>
    <row r="89" spans="1:18" ht="18.75" customHeight="1">
      <c r="A89" s="271">
        <v>2</v>
      </c>
      <c r="B89" s="272" t="s">
        <v>327</v>
      </c>
      <c r="C89" s="271" t="s">
        <v>209</v>
      </c>
      <c r="D89" s="150">
        <v>124.4</v>
      </c>
      <c r="E89" s="292">
        <f>E90+E91</f>
        <v>165</v>
      </c>
      <c r="F89" s="150"/>
      <c r="G89" s="150"/>
      <c r="H89" s="150"/>
      <c r="I89" s="150"/>
      <c r="J89" s="150"/>
      <c r="K89" s="150"/>
      <c r="L89" s="150"/>
      <c r="M89" s="150"/>
      <c r="N89" s="150"/>
      <c r="O89" s="150"/>
      <c r="P89" s="150"/>
      <c r="Q89" s="150"/>
      <c r="R89" s="277">
        <f t="shared" si="23"/>
        <v>132.63665594855306</v>
      </c>
    </row>
    <row r="90" spans="1:18" ht="18.75" customHeight="1">
      <c r="A90" s="274" t="s">
        <v>388</v>
      </c>
      <c r="B90" s="272" t="s">
        <v>233</v>
      </c>
      <c r="C90" s="271" t="s">
        <v>209</v>
      </c>
      <c r="D90" s="150">
        <v>79.7</v>
      </c>
      <c r="E90" s="292">
        <v>90</v>
      </c>
      <c r="F90" s="150"/>
      <c r="G90" s="150"/>
      <c r="H90" s="150"/>
      <c r="I90" s="150"/>
      <c r="J90" s="150"/>
      <c r="K90" s="150"/>
      <c r="L90" s="150"/>
      <c r="M90" s="150"/>
      <c r="N90" s="150"/>
      <c r="O90" s="150"/>
      <c r="P90" s="150"/>
      <c r="Q90" s="150"/>
      <c r="R90" s="277">
        <f t="shared" si="23"/>
        <v>112.92346298619825</v>
      </c>
    </row>
    <row r="91" spans="1:18" s="62" customFormat="1" ht="18.75" customHeight="1">
      <c r="A91" s="274" t="s">
        <v>388</v>
      </c>
      <c r="B91" s="272" t="s">
        <v>234</v>
      </c>
      <c r="C91" s="271" t="s">
        <v>209</v>
      </c>
      <c r="D91" s="150">
        <v>44.7</v>
      </c>
      <c r="E91" s="292">
        <v>75</v>
      </c>
      <c r="F91" s="150"/>
      <c r="G91" s="150"/>
      <c r="H91" s="150"/>
      <c r="I91" s="150"/>
      <c r="J91" s="150"/>
      <c r="K91" s="150"/>
      <c r="L91" s="150"/>
      <c r="M91" s="150"/>
      <c r="N91" s="150"/>
      <c r="O91" s="150"/>
      <c r="P91" s="150"/>
      <c r="Q91" s="150"/>
      <c r="R91" s="277">
        <f t="shared" si="23"/>
        <v>167.78523489932883</v>
      </c>
    </row>
    <row r="92" spans="1:18" s="62" customFormat="1" ht="18.75" customHeight="1">
      <c r="A92" s="264" t="s">
        <v>371</v>
      </c>
      <c r="B92" s="265" t="s">
        <v>235</v>
      </c>
      <c r="C92" s="264"/>
      <c r="D92" s="439"/>
      <c r="E92" s="292"/>
      <c r="F92" s="439"/>
      <c r="G92" s="439"/>
      <c r="H92" s="439"/>
      <c r="I92" s="439"/>
      <c r="J92" s="439"/>
      <c r="K92" s="439"/>
      <c r="L92" s="439"/>
      <c r="M92" s="439"/>
      <c r="N92" s="439"/>
      <c r="O92" s="439"/>
      <c r="P92" s="439"/>
      <c r="Q92" s="439"/>
      <c r="R92" s="275"/>
    </row>
    <row r="93" spans="1:18" ht="18.75" customHeight="1">
      <c r="A93" s="291">
        <v>1</v>
      </c>
      <c r="B93" s="586" t="s">
        <v>236</v>
      </c>
      <c r="C93" s="291" t="s">
        <v>12</v>
      </c>
      <c r="D93" s="443">
        <v>38</v>
      </c>
      <c r="E93" s="377">
        <v>38.4</v>
      </c>
      <c r="F93" s="150"/>
      <c r="G93" s="150"/>
      <c r="H93" s="150"/>
      <c r="I93" s="150"/>
      <c r="J93" s="150"/>
      <c r="K93" s="150"/>
      <c r="L93" s="150"/>
      <c r="M93" s="150"/>
      <c r="N93" s="150"/>
      <c r="O93" s="150"/>
      <c r="P93" s="150"/>
      <c r="Q93" s="150"/>
      <c r="R93" s="587">
        <f>E93-D93</f>
        <v>0.3999999999999986</v>
      </c>
    </row>
    <row r="94" spans="1:18" s="591" customFormat="1" ht="18.75" customHeight="1">
      <c r="A94" s="588">
        <v>2</v>
      </c>
      <c r="B94" s="589" t="s">
        <v>401</v>
      </c>
      <c r="C94" s="588" t="s">
        <v>210</v>
      </c>
      <c r="D94" s="579"/>
      <c r="E94" s="578">
        <f>E97</f>
        <v>10</v>
      </c>
      <c r="F94" s="577"/>
      <c r="G94" s="577"/>
      <c r="H94" s="577"/>
      <c r="I94" s="577"/>
      <c r="J94" s="577"/>
      <c r="K94" s="577"/>
      <c r="L94" s="577"/>
      <c r="M94" s="577"/>
      <c r="N94" s="577"/>
      <c r="O94" s="577"/>
      <c r="P94" s="577"/>
      <c r="Q94" s="577"/>
      <c r="R94" s="590"/>
    </row>
    <row r="95" spans="1:18" s="591" customFormat="1" ht="18.75" customHeight="1" hidden="1">
      <c r="A95" s="289" t="s">
        <v>388</v>
      </c>
      <c r="B95" s="589" t="s">
        <v>398</v>
      </c>
      <c r="C95" s="588" t="s">
        <v>210</v>
      </c>
      <c r="D95" s="577"/>
      <c r="E95" s="292"/>
      <c r="F95" s="577"/>
      <c r="G95" s="577"/>
      <c r="H95" s="577"/>
      <c r="I95" s="577"/>
      <c r="J95" s="577"/>
      <c r="K95" s="577"/>
      <c r="L95" s="577"/>
      <c r="M95" s="577"/>
      <c r="N95" s="577"/>
      <c r="O95" s="577"/>
      <c r="P95" s="577"/>
      <c r="Q95" s="577"/>
      <c r="R95" s="590"/>
    </row>
    <row r="96" spans="1:18" s="591" customFormat="1" ht="18.75" customHeight="1" hidden="1">
      <c r="A96" s="289" t="s">
        <v>388</v>
      </c>
      <c r="B96" s="589" t="s">
        <v>399</v>
      </c>
      <c r="C96" s="588" t="s">
        <v>210</v>
      </c>
      <c r="D96" s="579">
        <v>0.92</v>
      </c>
      <c r="E96" s="292"/>
      <c r="F96" s="577"/>
      <c r="G96" s="577"/>
      <c r="H96" s="577"/>
      <c r="I96" s="577"/>
      <c r="J96" s="577"/>
      <c r="K96" s="577"/>
      <c r="L96" s="577"/>
      <c r="M96" s="577"/>
      <c r="N96" s="577"/>
      <c r="O96" s="577"/>
      <c r="P96" s="577"/>
      <c r="Q96" s="577"/>
      <c r="R96" s="590"/>
    </row>
    <row r="97" spans="1:18" s="591" customFormat="1" ht="27.75" customHeight="1">
      <c r="A97" s="289"/>
      <c r="B97" s="589" t="s">
        <v>400</v>
      </c>
      <c r="C97" s="588" t="s">
        <v>210</v>
      </c>
      <c r="D97" s="577"/>
      <c r="E97" s="578">
        <v>10</v>
      </c>
      <c r="F97" s="577"/>
      <c r="G97" s="577"/>
      <c r="H97" s="577"/>
      <c r="I97" s="577"/>
      <c r="J97" s="577"/>
      <c r="K97" s="577"/>
      <c r="L97" s="577"/>
      <c r="M97" s="577"/>
      <c r="N97" s="577"/>
      <c r="O97" s="577"/>
      <c r="P97" s="577"/>
      <c r="Q97" s="577"/>
      <c r="R97" s="590"/>
    </row>
    <row r="98" spans="1:18" ht="18.75" customHeight="1">
      <c r="A98" s="291">
        <v>3</v>
      </c>
      <c r="B98" s="586" t="s">
        <v>328</v>
      </c>
      <c r="C98" s="291" t="s">
        <v>339</v>
      </c>
      <c r="D98" s="292">
        <v>1985</v>
      </c>
      <c r="E98" s="292">
        <v>1500</v>
      </c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77">
        <f>E98/D98*100</f>
        <v>75.56675062972292</v>
      </c>
    </row>
    <row r="99" spans="1:18" ht="15" hidden="1">
      <c r="A99" s="289" t="s">
        <v>388</v>
      </c>
      <c r="B99" s="586" t="s">
        <v>402</v>
      </c>
      <c r="C99" s="291" t="s">
        <v>387</v>
      </c>
      <c r="D99" s="443">
        <v>1650</v>
      </c>
      <c r="E99" s="443"/>
      <c r="F99" s="443"/>
      <c r="G99" s="443"/>
      <c r="H99" s="443"/>
      <c r="I99" s="443"/>
      <c r="J99" s="443"/>
      <c r="K99" s="443"/>
      <c r="L99" s="443"/>
      <c r="M99" s="443"/>
      <c r="N99" s="443"/>
      <c r="O99" s="377"/>
      <c r="P99" s="455"/>
      <c r="Q99" s="455"/>
      <c r="R99" s="587" t="e">
        <f>#REF!/D99*100</f>
        <v>#REF!</v>
      </c>
    </row>
    <row r="100" spans="1:18" ht="15" hidden="1">
      <c r="A100" s="289" t="s">
        <v>388</v>
      </c>
      <c r="B100" s="586" t="s">
        <v>403</v>
      </c>
      <c r="C100" s="291" t="s">
        <v>387</v>
      </c>
      <c r="D100" s="443"/>
      <c r="E100" s="443">
        <v>2000</v>
      </c>
      <c r="F100" s="443"/>
      <c r="G100" s="443"/>
      <c r="H100" s="443"/>
      <c r="I100" s="443"/>
      <c r="J100" s="443"/>
      <c r="K100" s="443"/>
      <c r="L100" s="443"/>
      <c r="M100" s="443"/>
      <c r="N100" s="443"/>
      <c r="O100" s="377"/>
      <c r="P100" s="455"/>
      <c r="Q100" s="455"/>
      <c r="R100" s="587"/>
    </row>
    <row r="101" spans="1:18" ht="18.75" customHeight="1">
      <c r="A101" s="291">
        <v>4</v>
      </c>
      <c r="B101" s="586" t="s">
        <v>659</v>
      </c>
      <c r="C101" s="291" t="s">
        <v>210</v>
      </c>
      <c r="D101" s="377">
        <v>26027.2</v>
      </c>
      <c r="E101" s="150">
        <f>SUM(F101:Q101)</f>
        <v>26212.12</v>
      </c>
      <c r="F101" s="721">
        <v>82.27</v>
      </c>
      <c r="G101" s="721">
        <v>1763.78</v>
      </c>
      <c r="H101" s="721">
        <v>1419.3899999999999</v>
      </c>
      <c r="I101" s="721">
        <v>2111.3500000000004</v>
      </c>
      <c r="J101" s="721">
        <v>3672.5600000000004</v>
      </c>
      <c r="K101" s="721">
        <v>2967.6300000000006</v>
      </c>
      <c r="L101" s="721">
        <v>2555.9000000000005</v>
      </c>
      <c r="M101" s="721">
        <v>1617.36</v>
      </c>
      <c r="N101" s="721">
        <v>2346.55</v>
      </c>
      <c r="O101" s="721">
        <v>1738.6899999999998</v>
      </c>
      <c r="P101" s="721">
        <v>3588.1600000000003</v>
      </c>
      <c r="Q101" s="746">
        <v>2348.48</v>
      </c>
      <c r="R101" s="277">
        <f>E101/D101*100</f>
        <v>100.71048749001044</v>
      </c>
    </row>
    <row r="102" spans="1:18" ht="24" customHeight="1">
      <c r="A102" s="291">
        <v>5</v>
      </c>
      <c r="B102" s="290" t="s">
        <v>626</v>
      </c>
      <c r="C102" s="291" t="s">
        <v>210</v>
      </c>
      <c r="D102" s="150">
        <v>990</v>
      </c>
      <c r="E102" s="292">
        <f>E103+E104</f>
        <v>1290</v>
      </c>
      <c r="F102" s="150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73">
        <f>E102/D102*100</f>
        <v>130.3030303030303</v>
      </c>
    </row>
    <row r="103" spans="1:18" ht="18.75" customHeight="1">
      <c r="A103" s="289" t="s">
        <v>388</v>
      </c>
      <c r="B103" s="290" t="s">
        <v>389</v>
      </c>
      <c r="C103" s="291" t="s">
        <v>210</v>
      </c>
      <c r="D103" s="377">
        <v>100</v>
      </c>
      <c r="E103" s="443">
        <v>200</v>
      </c>
      <c r="F103" s="377"/>
      <c r="G103" s="443"/>
      <c r="H103" s="443"/>
      <c r="I103" s="443"/>
      <c r="J103" s="443"/>
      <c r="K103" s="443"/>
      <c r="L103" s="443"/>
      <c r="M103" s="443"/>
      <c r="N103" s="443"/>
      <c r="O103" s="443"/>
      <c r="P103" s="443"/>
      <c r="Q103" s="443"/>
      <c r="R103" s="275">
        <f>E103/D103*100</f>
        <v>200</v>
      </c>
    </row>
    <row r="104" spans="1:18" ht="18.75" customHeight="1">
      <c r="A104" s="289" t="s">
        <v>388</v>
      </c>
      <c r="B104" s="290" t="s">
        <v>390</v>
      </c>
      <c r="C104" s="291" t="s">
        <v>210</v>
      </c>
      <c r="D104" s="443">
        <v>890</v>
      </c>
      <c r="E104" s="443">
        <v>1090</v>
      </c>
      <c r="F104" s="377"/>
      <c r="G104" s="443"/>
      <c r="H104" s="443"/>
      <c r="I104" s="443"/>
      <c r="J104" s="443"/>
      <c r="K104" s="443"/>
      <c r="L104" s="443"/>
      <c r="M104" s="443"/>
      <c r="N104" s="443"/>
      <c r="O104" s="443"/>
      <c r="P104" s="443"/>
      <c r="Q104" s="443"/>
      <c r="R104" s="277">
        <f>E104/D104*100</f>
        <v>122.47191011235957</v>
      </c>
    </row>
    <row r="105" spans="1:18" ht="18.75" customHeight="1">
      <c r="A105" s="291">
        <v>6</v>
      </c>
      <c r="B105" s="586" t="s">
        <v>370</v>
      </c>
      <c r="C105" s="291" t="s">
        <v>210</v>
      </c>
      <c r="D105" s="150">
        <v>22.14</v>
      </c>
      <c r="E105" s="445">
        <v>0.92</v>
      </c>
      <c r="F105" s="626"/>
      <c r="G105" s="445"/>
      <c r="H105" s="445">
        <v>0.92</v>
      </c>
      <c r="I105" s="445"/>
      <c r="J105" s="445"/>
      <c r="K105" s="445"/>
      <c r="L105" s="292"/>
      <c r="M105" s="292"/>
      <c r="N105" s="292"/>
      <c r="O105" s="292"/>
      <c r="P105" s="150"/>
      <c r="Q105" s="292"/>
      <c r="R105" s="277">
        <f>E105/D105*100</f>
        <v>4.155374887082204</v>
      </c>
    </row>
    <row r="106" spans="1:18" ht="18">
      <c r="A106" s="63"/>
      <c r="B106" s="64"/>
      <c r="C106" s="63"/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R106" s="64"/>
    </row>
    <row r="107" spans="1:18" ht="18">
      <c r="A107" s="63"/>
      <c r="B107" s="64"/>
      <c r="C107" s="63"/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/>
      <c r="P107" s="64"/>
      <c r="Q107" s="64"/>
      <c r="R107" s="64"/>
    </row>
    <row r="108" spans="1:18" ht="18">
      <c r="A108" s="63"/>
      <c r="B108" s="64"/>
      <c r="C108" s="63"/>
      <c r="D108" s="513"/>
      <c r="E108" s="64"/>
      <c r="F108" s="64"/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</row>
    <row r="109" spans="1:18" ht="18">
      <c r="A109" s="63"/>
      <c r="B109" s="64"/>
      <c r="C109" s="63"/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64"/>
      <c r="O109" s="64"/>
      <c r="P109" s="64"/>
      <c r="Q109" s="64"/>
      <c r="R109" s="64"/>
    </row>
  </sheetData>
  <sheetProtection/>
  <mergeCells count="11">
    <mergeCell ref="E5:Q5"/>
    <mergeCell ref="F6:Q6"/>
    <mergeCell ref="E6:E7"/>
    <mergeCell ref="A1:B1"/>
    <mergeCell ref="A2:R2"/>
    <mergeCell ref="A3:R3"/>
    <mergeCell ref="A5:A7"/>
    <mergeCell ref="B5:B7"/>
    <mergeCell ref="C5:C7"/>
    <mergeCell ref="D5:D7"/>
    <mergeCell ref="R5:R7"/>
  </mergeCells>
  <printOptions/>
  <pageMargins left="0.498031496" right="0.354330708661417" top="0.55" bottom="0.590551181102362" header="0.511811023622047" footer="0.511811023622047"/>
  <pageSetup horizontalDpi="600" verticalDpi="600" orientation="landscape" paperSize="9" scale="8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E5" sqref="E5:E7"/>
    </sheetView>
  </sheetViews>
  <sheetFormatPr defaultColWidth="9.140625" defaultRowHeight="12.75"/>
  <cols>
    <col min="1" max="1" width="5.00390625" style="65" customWidth="1"/>
    <col min="2" max="2" width="36.7109375" style="60" customWidth="1"/>
    <col min="3" max="3" width="16.8515625" style="65" customWidth="1"/>
    <col min="4" max="4" width="15.57421875" style="60" customWidth="1"/>
    <col min="5" max="5" width="17.00390625" style="60" customWidth="1"/>
    <col min="6" max="6" width="15.7109375" style="60" customWidth="1"/>
    <col min="7" max="8" width="9.140625" style="60" customWidth="1"/>
    <col min="9" max="9" width="16.140625" style="60" bestFit="1" customWidth="1"/>
    <col min="10" max="16384" width="9.140625" style="60" customWidth="1"/>
  </cols>
  <sheetData>
    <row r="1" spans="1:6" ht="18.75" customHeight="1">
      <c r="A1" s="760" t="s">
        <v>691</v>
      </c>
      <c r="B1" s="760"/>
      <c r="C1" s="59"/>
      <c r="D1" s="59"/>
      <c r="E1" s="59"/>
      <c r="F1" s="59"/>
    </row>
    <row r="2" spans="1:6" s="62" customFormat="1" ht="18" customHeight="1">
      <c r="A2" s="762" t="s">
        <v>695</v>
      </c>
      <c r="B2" s="762"/>
      <c r="C2" s="762"/>
      <c r="D2" s="762"/>
      <c r="E2" s="762"/>
      <c r="F2" s="762"/>
    </row>
    <row r="3" spans="1:6" ht="18" customHeight="1">
      <c r="A3" s="756" t="s">
        <v>694</v>
      </c>
      <c r="B3" s="756"/>
      <c r="C3" s="756"/>
      <c r="D3" s="756"/>
      <c r="E3" s="756"/>
      <c r="F3" s="756"/>
    </row>
    <row r="4" spans="1:6" ht="19.5" customHeight="1">
      <c r="A4" s="72"/>
      <c r="B4" s="73"/>
      <c r="C4" s="73"/>
      <c r="D4" s="61"/>
      <c r="E4" s="61"/>
      <c r="F4" s="61"/>
    </row>
    <row r="5" spans="1:6" s="76" customFormat="1" ht="24.75" customHeight="1">
      <c r="A5" s="757" t="s">
        <v>205</v>
      </c>
      <c r="B5" s="761" t="s">
        <v>49</v>
      </c>
      <c r="C5" s="761" t="s">
        <v>206</v>
      </c>
      <c r="D5" s="757" t="s">
        <v>685</v>
      </c>
      <c r="E5" s="758" t="s">
        <v>683</v>
      </c>
      <c r="F5" s="757" t="s">
        <v>693</v>
      </c>
    </row>
    <row r="6" spans="1:6" s="76" customFormat="1" ht="18" customHeight="1">
      <c r="A6" s="761"/>
      <c r="B6" s="761"/>
      <c r="C6" s="761"/>
      <c r="D6" s="757"/>
      <c r="E6" s="759"/>
      <c r="F6" s="757"/>
    </row>
    <row r="7" spans="1:6" s="76" customFormat="1" ht="63" customHeight="1">
      <c r="A7" s="761"/>
      <c r="B7" s="761"/>
      <c r="C7" s="761"/>
      <c r="D7" s="757"/>
      <c r="E7" s="759"/>
      <c r="F7" s="757"/>
    </row>
    <row r="8" spans="1:6" s="74" customFormat="1" ht="23.25" customHeight="1">
      <c r="A8" s="293" t="s">
        <v>202</v>
      </c>
      <c r="B8" s="294" t="s">
        <v>239</v>
      </c>
      <c r="C8" s="293"/>
      <c r="D8" s="295"/>
      <c r="E8" s="295"/>
      <c r="F8" s="295"/>
    </row>
    <row r="9" spans="1:6" s="74" customFormat="1" ht="32.25" customHeight="1">
      <c r="A9" s="293">
        <v>1</v>
      </c>
      <c r="B9" s="584" t="s">
        <v>562</v>
      </c>
      <c r="C9" s="293" t="s">
        <v>180</v>
      </c>
      <c r="D9" s="733">
        <v>91.485</v>
      </c>
      <c r="E9" s="627">
        <v>130</v>
      </c>
      <c r="F9" s="295">
        <f>E9/D9*100</f>
        <v>142.09979778105702</v>
      </c>
    </row>
    <row r="10" spans="1:6" s="74" customFormat="1" ht="33.75" customHeight="1">
      <c r="A10" s="293">
        <v>2</v>
      </c>
      <c r="B10" s="584" t="s">
        <v>560</v>
      </c>
      <c r="C10" s="293"/>
      <c r="D10" s="355"/>
      <c r="E10" s="295"/>
      <c r="F10" s="295"/>
    </row>
    <row r="11" spans="1:6" s="217" customFormat="1" ht="23.25" customHeight="1">
      <c r="A11" s="353" t="s">
        <v>388</v>
      </c>
      <c r="B11" s="592" t="s">
        <v>249</v>
      </c>
      <c r="C11" s="296" t="s">
        <v>284</v>
      </c>
      <c r="D11" s="628">
        <v>15</v>
      </c>
      <c r="E11" s="629">
        <v>20</v>
      </c>
      <c r="F11" s="298">
        <f>E11/D11*100</f>
        <v>133.33333333333331</v>
      </c>
    </row>
    <row r="12" spans="1:6" s="75" customFormat="1" ht="23.25" customHeight="1">
      <c r="A12" s="353" t="s">
        <v>388</v>
      </c>
      <c r="B12" s="592" t="s">
        <v>305</v>
      </c>
      <c r="C12" s="297" t="s">
        <v>404</v>
      </c>
      <c r="D12" s="631">
        <v>6.5</v>
      </c>
      <c r="E12" s="632">
        <v>6.5</v>
      </c>
      <c r="F12" s="734">
        <f>E12/D12*100</f>
        <v>100</v>
      </c>
    </row>
    <row r="13" spans="1:6" s="75" customFormat="1" ht="23.25" customHeight="1">
      <c r="A13" s="353" t="s">
        <v>388</v>
      </c>
      <c r="B13" s="592" t="s">
        <v>329</v>
      </c>
      <c r="C13" s="297" t="s">
        <v>405</v>
      </c>
      <c r="D13" s="633">
        <v>0.5</v>
      </c>
      <c r="E13" s="632">
        <v>0.5</v>
      </c>
      <c r="F13" s="734">
        <f>E13/D13*100</f>
        <v>100</v>
      </c>
    </row>
    <row r="14" spans="1:9" s="74" customFormat="1" ht="23.25" customHeight="1">
      <c r="A14" s="293" t="s">
        <v>3</v>
      </c>
      <c r="B14" s="582" t="s">
        <v>330</v>
      </c>
      <c r="C14" s="293"/>
      <c r="D14" s="355"/>
      <c r="E14" s="299"/>
      <c r="F14" s="295"/>
      <c r="I14" s="114"/>
    </row>
    <row r="15" spans="1:9" s="75" customFormat="1" ht="35.25" customHeight="1">
      <c r="A15" s="354">
        <v>1</v>
      </c>
      <c r="B15" s="583" t="s">
        <v>561</v>
      </c>
      <c r="C15" s="354" t="s">
        <v>180</v>
      </c>
      <c r="D15" s="635">
        <v>562.2</v>
      </c>
      <c r="E15" s="636">
        <v>630</v>
      </c>
      <c r="F15" s="735">
        <f>E15/D15*100</f>
        <v>112.05976520811099</v>
      </c>
      <c r="I15" s="115"/>
    </row>
    <row r="16" spans="1:9" s="74" customFormat="1" ht="23.25" customHeight="1">
      <c r="A16" s="293" t="s">
        <v>203</v>
      </c>
      <c r="B16" s="580" t="s">
        <v>331</v>
      </c>
      <c r="C16" s="293"/>
      <c r="D16" s="295"/>
      <c r="E16" s="299"/>
      <c r="F16" s="295"/>
      <c r="I16" s="116"/>
    </row>
    <row r="17" spans="1:9" s="75" customFormat="1" ht="23.25" customHeight="1">
      <c r="A17" s="297">
        <v>1</v>
      </c>
      <c r="B17" s="581" t="s">
        <v>240</v>
      </c>
      <c r="C17" s="297"/>
      <c r="D17" s="298"/>
      <c r="E17" s="300"/>
      <c r="F17" s="298"/>
      <c r="I17" s="115"/>
    </row>
    <row r="18" spans="1:9" s="75" customFormat="1" ht="23.25" customHeight="1">
      <c r="A18" s="353" t="s">
        <v>388</v>
      </c>
      <c r="B18" s="592" t="s">
        <v>241</v>
      </c>
      <c r="C18" s="297" t="s">
        <v>406</v>
      </c>
      <c r="D18" s="634">
        <v>3.56</v>
      </c>
      <c r="E18" s="637">
        <v>5.4</v>
      </c>
      <c r="F18" s="298">
        <f>E18/D18*100</f>
        <v>151.68539325842698</v>
      </c>
      <c r="I18" s="115"/>
    </row>
    <row r="19" spans="1:6" s="75" customFormat="1" ht="23.25" customHeight="1">
      <c r="A19" s="353" t="s">
        <v>388</v>
      </c>
      <c r="B19" s="592" t="s">
        <v>242</v>
      </c>
      <c r="C19" s="297" t="s">
        <v>546</v>
      </c>
      <c r="D19" s="630">
        <v>109.86</v>
      </c>
      <c r="E19" s="300">
        <v>121</v>
      </c>
      <c r="F19" s="298">
        <f>E19/D19*100</f>
        <v>110.14017840888404</v>
      </c>
    </row>
    <row r="20" spans="1:6" s="75" customFormat="1" ht="23.25" customHeight="1">
      <c r="A20" s="297">
        <v>2</v>
      </c>
      <c r="B20" s="592" t="s">
        <v>243</v>
      </c>
      <c r="C20" s="297"/>
      <c r="D20" s="298"/>
      <c r="E20" s="300"/>
      <c r="F20" s="298"/>
    </row>
    <row r="21" spans="1:6" s="75" customFormat="1" ht="23.25" customHeight="1">
      <c r="A21" s="353" t="s">
        <v>388</v>
      </c>
      <c r="B21" s="592" t="s">
        <v>244</v>
      </c>
      <c r="C21" s="297" t="s">
        <v>407</v>
      </c>
      <c r="D21" s="634">
        <v>64.77</v>
      </c>
      <c r="E21" s="637">
        <v>91.6</v>
      </c>
      <c r="F21" s="298">
        <f>E21/D21*100</f>
        <v>141.42349853327158</v>
      </c>
    </row>
    <row r="22" spans="1:6" s="75" customFormat="1" ht="23.25" customHeight="1">
      <c r="A22" s="353" t="s">
        <v>388</v>
      </c>
      <c r="B22" s="592" t="s">
        <v>245</v>
      </c>
      <c r="C22" s="297" t="s">
        <v>408</v>
      </c>
      <c r="D22" s="634">
        <v>1758.35</v>
      </c>
      <c r="E22" s="300">
        <v>2180</v>
      </c>
      <c r="F22" s="734">
        <f>E22/D22*100</f>
        <v>123.97986748940768</v>
      </c>
    </row>
    <row r="23" spans="1:6" ht="18">
      <c r="A23" s="63"/>
      <c r="B23" s="64"/>
      <c r="C23" s="63"/>
      <c r="D23" s="64"/>
      <c r="E23" s="64"/>
      <c r="F23" s="64"/>
    </row>
    <row r="24" spans="1:6" ht="18">
      <c r="A24" s="63"/>
      <c r="B24" s="64"/>
      <c r="C24" s="63"/>
      <c r="D24" s="64"/>
      <c r="E24" s="64"/>
      <c r="F24" s="64"/>
    </row>
    <row r="25" spans="1:6" ht="18">
      <c r="A25" s="63"/>
      <c r="B25" s="64"/>
      <c r="C25" s="63"/>
      <c r="D25" s="64"/>
      <c r="E25" s="64"/>
      <c r="F25" s="64"/>
    </row>
    <row r="26" spans="1:6" ht="18">
      <c r="A26" s="63"/>
      <c r="B26" s="64"/>
      <c r="C26" s="63"/>
      <c r="D26" s="64"/>
      <c r="E26" s="64"/>
      <c r="F26" s="64"/>
    </row>
  </sheetData>
  <sheetProtection/>
  <mergeCells count="9">
    <mergeCell ref="A3:F3"/>
    <mergeCell ref="D5:D7"/>
    <mergeCell ref="E5:E7"/>
    <mergeCell ref="A1:B1"/>
    <mergeCell ref="A5:A7"/>
    <mergeCell ref="B5:B7"/>
    <mergeCell ref="C5:C7"/>
    <mergeCell ref="A2:F2"/>
    <mergeCell ref="F5:F7"/>
  </mergeCells>
  <printOptions/>
  <pageMargins left="0.5" right="0.25" top="0.56" bottom="0.58" header="0.5" footer="0.5"/>
  <pageSetup horizontalDpi="600" verticalDpi="60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40"/>
  <sheetViews>
    <sheetView view="pageBreakPreview"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A4" sqref="A4:R4"/>
    </sheetView>
  </sheetViews>
  <sheetFormatPr defaultColWidth="9.140625" defaultRowHeight="12.75"/>
  <cols>
    <col min="1" max="1" width="4.7109375" style="45" customWidth="1"/>
    <col min="2" max="2" width="37.00390625" style="496" customWidth="1"/>
    <col min="3" max="3" width="10.8515625" style="45" customWidth="1"/>
    <col min="4" max="4" width="9.421875" style="45" customWidth="1"/>
    <col min="5" max="5" width="8.7109375" style="57" customWidth="1"/>
    <col min="6" max="6" width="8.140625" style="57" customWidth="1"/>
    <col min="7" max="7" width="8.8515625" style="57" customWidth="1"/>
    <col min="8" max="8" width="8.00390625" style="57" customWidth="1"/>
    <col min="9" max="9" width="7.7109375" style="57" customWidth="1"/>
    <col min="10" max="10" width="9.140625" style="57" customWidth="1"/>
    <col min="11" max="11" width="7.7109375" style="57" customWidth="1"/>
    <col min="12" max="12" width="8.140625" style="57" customWidth="1"/>
    <col min="13" max="13" width="7.28125" style="57" customWidth="1"/>
    <col min="14" max="14" width="8.140625" style="57" customWidth="1"/>
    <col min="15" max="15" width="7.57421875" style="57" customWidth="1"/>
    <col min="16" max="16" width="8.140625" style="57" customWidth="1"/>
    <col min="17" max="17" width="8.28125" style="57" customWidth="1"/>
    <col min="18" max="18" width="16.7109375" style="45" customWidth="1"/>
    <col min="19" max="19" width="13.00390625" style="45" customWidth="1"/>
    <col min="20" max="16384" width="9.140625" style="45" customWidth="1"/>
  </cols>
  <sheetData>
    <row r="1" spans="1:18" s="49" customFormat="1" ht="16.5" customHeight="1">
      <c r="A1" s="44" t="s">
        <v>686</v>
      </c>
      <c r="B1" s="477"/>
      <c r="C1" s="90"/>
      <c r="D1" s="44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44"/>
    </row>
    <row r="2" spans="1:18" s="50" customFormat="1" ht="19.5" customHeight="1">
      <c r="A2" s="768" t="s">
        <v>1</v>
      </c>
      <c r="B2" s="768"/>
      <c r="C2" s="768"/>
      <c r="D2" s="768"/>
      <c r="E2" s="768"/>
      <c r="F2" s="768"/>
      <c r="G2" s="768"/>
      <c r="H2" s="768"/>
      <c r="I2" s="768"/>
      <c r="J2" s="768"/>
      <c r="K2" s="768"/>
      <c r="L2" s="768"/>
      <c r="M2" s="768"/>
      <c r="N2" s="768"/>
      <c r="O2" s="768"/>
      <c r="P2" s="768"/>
      <c r="Q2" s="768"/>
      <c r="R2" s="768"/>
    </row>
    <row r="3" spans="1:18" s="50" customFormat="1" ht="18.75" customHeight="1">
      <c r="A3" s="768" t="s">
        <v>627</v>
      </c>
      <c r="B3" s="768"/>
      <c r="C3" s="768"/>
      <c r="D3" s="768"/>
      <c r="E3" s="768"/>
      <c r="F3" s="768"/>
      <c r="G3" s="768"/>
      <c r="H3" s="768"/>
      <c r="I3" s="768"/>
      <c r="J3" s="768"/>
      <c r="K3" s="768"/>
      <c r="L3" s="768"/>
      <c r="M3" s="768"/>
      <c r="N3" s="768"/>
      <c r="O3" s="768"/>
      <c r="P3" s="768"/>
      <c r="Q3" s="768"/>
      <c r="R3" s="768"/>
    </row>
    <row r="4" spans="1:18" s="50" customFormat="1" ht="20.25" customHeight="1">
      <c r="A4" s="769" t="s">
        <v>697</v>
      </c>
      <c r="B4" s="769"/>
      <c r="C4" s="769"/>
      <c r="D4" s="769"/>
      <c r="E4" s="769"/>
      <c r="F4" s="769"/>
      <c r="G4" s="769"/>
      <c r="H4" s="769"/>
      <c r="I4" s="769"/>
      <c r="J4" s="769"/>
      <c r="K4" s="769"/>
      <c r="L4" s="769"/>
      <c r="M4" s="769"/>
      <c r="N4" s="769"/>
      <c r="O4" s="769"/>
      <c r="P4" s="769"/>
      <c r="Q4" s="769"/>
      <c r="R4" s="769"/>
    </row>
    <row r="5" spans="1:18" ht="16.5" customHeight="1">
      <c r="A5" s="770"/>
      <c r="B5" s="770"/>
      <c r="C5" s="770"/>
      <c r="D5" s="770"/>
      <c r="E5" s="770"/>
      <c r="F5" s="770"/>
      <c r="G5" s="770"/>
      <c r="H5" s="770"/>
      <c r="I5" s="770"/>
      <c r="J5" s="770"/>
      <c r="K5" s="770"/>
      <c r="L5" s="770"/>
      <c r="M5" s="770"/>
      <c r="N5" s="770"/>
      <c r="O5" s="770"/>
      <c r="P5" s="770"/>
      <c r="Q5" s="770"/>
      <c r="R5" s="770"/>
    </row>
    <row r="6" spans="1:18" s="305" customFormat="1" ht="30.75" customHeight="1">
      <c r="A6" s="766" t="s">
        <v>321</v>
      </c>
      <c r="B6" s="763" t="s">
        <v>5</v>
      </c>
      <c r="C6" s="766" t="s">
        <v>0</v>
      </c>
      <c r="D6" s="766" t="s">
        <v>685</v>
      </c>
      <c r="E6" s="771" t="s">
        <v>683</v>
      </c>
      <c r="F6" s="771"/>
      <c r="G6" s="771"/>
      <c r="H6" s="771"/>
      <c r="I6" s="771"/>
      <c r="J6" s="771"/>
      <c r="K6" s="771"/>
      <c r="L6" s="771"/>
      <c r="M6" s="771"/>
      <c r="N6" s="771"/>
      <c r="O6" s="771"/>
      <c r="P6" s="771"/>
      <c r="Q6" s="771"/>
      <c r="R6" s="772" t="s">
        <v>693</v>
      </c>
    </row>
    <row r="7" spans="1:18" s="305" customFormat="1" ht="17.25" customHeight="1">
      <c r="A7" s="767"/>
      <c r="B7" s="764"/>
      <c r="C7" s="766" t="s">
        <v>6</v>
      </c>
      <c r="D7" s="766"/>
      <c r="E7" s="766" t="s">
        <v>2</v>
      </c>
      <c r="F7" s="766" t="s">
        <v>207</v>
      </c>
      <c r="G7" s="766"/>
      <c r="H7" s="766"/>
      <c r="I7" s="766"/>
      <c r="J7" s="766"/>
      <c r="K7" s="766"/>
      <c r="L7" s="766"/>
      <c r="M7" s="766"/>
      <c r="N7" s="766"/>
      <c r="O7" s="766"/>
      <c r="P7" s="766"/>
      <c r="Q7" s="766"/>
      <c r="R7" s="773"/>
    </row>
    <row r="8" spans="1:18" s="305" customFormat="1" ht="42" customHeight="1">
      <c r="A8" s="767"/>
      <c r="B8" s="765"/>
      <c r="C8" s="766"/>
      <c r="D8" s="766"/>
      <c r="E8" s="766"/>
      <c r="F8" s="55" t="s">
        <v>373</v>
      </c>
      <c r="G8" s="55" t="s">
        <v>551</v>
      </c>
      <c r="H8" s="55" t="s">
        <v>208</v>
      </c>
      <c r="I8" s="55" t="s">
        <v>552</v>
      </c>
      <c r="J8" s="55" t="s">
        <v>553</v>
      </c>
      <c r="K8" s="55" t="s">
        <v>554</v>
      </c>
      <c r="L8" s="55" t="s">
        <v>555</v>
      </c>
      <c r="M8" s="55" t="s">
        <v>378</v>
      </c>
      <c r="N8" s="55" t="s">
        <v>556</v>
      </c>
      <c r="O8" s="55" t="s">
        <v>557</v>
      </c>
      <c r="P8" s="55" t="s">
        <v>381</v>
      </c>
      <c r="Q8" s="55" t="s">
        <v>382</v>
      </c>
      <c r="R8" s="774"/>
    </row>
    <row r="9" spans="1:19" s="307" customFormat="1" ht="24.75" customHeight="1">
      <c r="A9" s="323"/>
      <c r="B9" s="478" t="s">
        <v>7</v>
      </c>
      <c r="C9" s="323" t="s">
        <v>8</v>
      </c>
      <c r="D9" s="638">
        <v>59033</v>
      </c>
      <c r="E9" s="434">
        <f>SUM(F9:Q9)</f>
        <v>59407</v>
      </c>
      <c r="F9" s="434">
        <f>F11</f>
        <v>8539</v>
      </c>
      <c r="G9" s="434">
        <f>G12</f>
        <v>5704</v>
      </c>
      <c r="H9" s="434">
        <f aca="true" t="shared" si="0" ref="H9:Q9">H12</f>
        <v>7132</v>
      </c>
      <c r="I9" s="434">
        <f t="shared" si="0"/>
        <v>4001</v>
      </c>
      <c r="J9" s="434">
        <f t="shared" si="0"/>
        <v>5598</v>
      </c>
      <c r="K9" s="434">
        <f t="shared" si="0"/>
        <v>6606</v>
      </c>
      <c r="L9" s="434">
        <f t="shared" si="0"/>
        <v>3453</v>
      </c>
      <c r="M9" s="434">
        <f t="shared" si="0"/>
        <v>3780</v>
      </c>
      <c r="N9" s="434">
        <f t="shared" si="0"/>
        <v>2607</v>
      </c>
      <c r="O9" s="434">
        <f t="shared" si="0"/>
        <v>4132</v>
      </c>
      <c r="P9" s="434">
        <f t="shared" si="0"/>
        <v>5085</v>
      </c>
      <c r="Q9" s="434">
        <f t="shared" si="0"/>
        <v>2770</v>
      </c>
      <c r="R9" s="571">
        <f>E9/D9*100</f>
        <v>100.63354394999406</v>
      </c>
      <c r="S9" s="306"/>
    </row>
    <row r="10" spans="1:19" s="310" customFormat="1" ht="24.75" customHeight="1">
      <c r="A10" s="324"/>
      <c r="B10" s="479" t="s">
        <v>250</v>
      </c>
      <c r="C10" s="326" t="s">
        <v>162</v>
      </c>
      <c r="D10" s="327">
        <v>28871</v>
      </c>
      <c r="E10" s="329">
        <f>SUM(F10:Q10)</f>
        <v>29404</v>
      </c>
      <c r="F10" s="329">
        <v>4412</v>
      </c>
      <c r="G10" s="329">
        <v>2638</v>
      </c>
      <c r="H10" s="329">
        <v>3530</v>
      </c>
      <c r="I10" s="329">
        <v>1980</v>
      </c>
      <c r="J10" s="329">
        <v>2771</v>
      </c>
      <c r="K10" s="329">
        <v>3270</v>
      </c>
      <c r="L10" s="329">
        <v>1709</v>
      </c>
      <c r="M10" s="329">
        <v>1871</v>
      </c>
      <c r="N10" s="329">
        <v>1290</v>
      </c>
      <c r="O10" s="329">
        <v>2045</v>
      </c>
      <c r="P10" s="329">
        <v>2517</v>
      </c>
      <c r="Q10" s="329">
        <v>1371</v>
      </c>
      <c r="R10" s="334">
        <f aca="true" t="shared" si="1" ref="R10:R35">E10/D10*100</f>
        <v>101.84614318866683</v>
      </c>
      <c r="S10" s="309"/>
    </row>
    <row r="11" spans="1:22" s="310" customFormat="1" ht="24.75" customHeight="1">
      <c r="A11" s="328"/>
      <c r="B11" s="479" t="s">
        <v>251</v>
      </c>
      <c r="C11" s="328" t="s">
        <v>8</v>
      </c>
      <c r="D11" s="327">
        <v>7900</v>
      </c>
      <c r="E11" s="329">
        <f>SUM(F11:Q11)</f>
        <v>8539</v>
      </c>
      <c r="F11" s="329">
        <f>8914-375</f>
        <v>8539</v>
      </c>
      <c r="G11" s="639"/>
      <c r="H11" s="639"/>
      <c r="I11" s="639"/>
      <c r="J11" s="639"/>
      <c r="K11" s="639"/>
      <c r="L11" s="639"/>
      <c r="M11" s="639"/>
      <c r="N11" s="639"/>
      <c r="O11" s="639"/>
      <c r="P11" s="639"/>
      <c r="Q11" s="639"/>
      <c r="R11" s="334">
        <f t="shared" si="1"/>
        <v>108.0886075949367</v>
      </c>
      <c r="S11" s="309"/>
      <c r="V11" s="312"/>
    </row>
    <row r="12" spans="1:22" s="310" customFormat="1" ht="24.75" customHeight="1">
      <c r="A12" s="328"/>
      <c r="B12" s="479" t="s">
        <v>9</v>
      </c>
      <c r="C12" s="328" t="s">
        <v>8</v>
      </c>
      <c r="D12" s="327">
        <v>51133</v>
      </c>
      <c r="E12" s="329">
        <f>SUM(F12:Q12)</f>
        <v>50868</v>
      </c>
      <c r="F12" s="640"/>
      <c r="G12" s="329">
        <v>5704</v>
      </c>
      <c r="H12" s="329">
        <v>7132</v>
      </c>
      <c r="I12" s="329">
        <v>4001</v>
      </c>
      <c r="J12" s="329">
        <v>5598</v>
      </c>
      <c r="K12" s="329">
        <v>6606</v>
      </c>
      <c r="L12" s="329">
        <v>3453</v>
      </c>
      <c r="M12" s="329">
        <v>3780</v>
      </c>
      <c r="N12" s="329">
        <v>2607</v>
      </c>
      <c r="O12" s="329">
        <v>4132</v>
      </c>
      <c r="P12" s="329">
        <v>5085</v>
      </c>
      <c r="Q12" s="329">
        <v>2770</v>
      </c>
      <c r="R12" s="334">
        <f t="shared" si="1"/>
        <v>99.48174368802925</v>
      </c>
      <c r="S12" s="309"/>
      <c r="V12" s="312"/>
    </row>
    <row r="13" spans="1:19" s="314" customFormat="1" ht="24.75" customHeight="1">
      <c r="A13" s="324" t="s">
        <v>191</v>
      </c>
      <c r="B13" s="480" t="s">
        <v>10</v>
      </c>
      <c r="C13" s="330"/>
      <c r="D13" s="338"/>
      <c r="E13" s="329"/>
      <c r="F13" s="569"/>
      <c r="G13" s="569"/>
      <c r="H13" s="569"/>
      <c r="I13" s="569"/>
      <c r="J13" s="569"/>
      <c r="K13" s="569"/>
      <c r="L13" s="569"/>
      <c r="M13" s="570"/>
      <c r="N13" s="569"/>
      <c r="O13" s="570"/>
      <c r="P13" s="569"/>
      <c r="Q13" s="569"/>
      <c r="R13" s="334"/>
      <c r="S13" s="309"/>
    </row>
    <row r="14" spans="1:20" s="310" customFormat="1" ht="24.75" customHeight="1">
      <c r="A14" s="328">
        <v>1</v>
      </c>
      <c r="B14" s="476" t="s">
        <v>564</v>
      </c>
      <c r="C14" s="328" t="s">
        <v>563</v>
      </c>
      <c r="D14" s="435">
        <v>34196</v>
      </c>
      <c r="E14" s="329">
        <f>SUM(F14:Q14)</f>
        <v>35382.363999999994</v>
      </c>
      <c r="F14" s="329">
        <f>F11*76%</f>
        <v>6489.64</v>
      </c>
      <c r="G14" s="730">
        <v>3356</v>
      </c>
      <c r="H14" s="329">
        <f>H12*57%</f>
        <v>4065.24</v>
      </c>
      <c r="I14" s="329">
        <f>I12*55.8%</f>
        <v>2232.5579999999995</v>
      </c>
      <c r="J14" s="329">
        <f>J12*56%</f>
        <v>3134.88</v>
      </c>
      <c r="K14" s="329">
        <f>K12*55.8%</f>
        <v>3686.1479999999997</v>
      </c>
      <c r="L14" s="329">
        <f>L12*58.6%</f>
        <v>2023.4579999999999</v>
      </c>
      <c r="M14" s="329">
        <f>M12*58.3%</f>
        <v>2203.74</v>
      </c>
      <c r="N14" s="329">
        <f>N12*55%</f>
        <v>1433.8500000000001</v>
      </c>
      <c r="O14" s="329">
        <f>O12*57%</f>
        <v>2355.24</v>
      </c>
      <c r="P14" s="329">
        <f>P12*56.6%</f>
        <v>2878.11</v>
      </c>
      <c r="Q14" s="329">
        <f>Q12*55%</f>
        <v>1523.5000000000002</v>
      </c>
      <c r="R14" s="334">
        <f t="shared" si="1"/>
        <v>103.46930635162006</v>
      </c>
      <c r="S14" s="309"/>
      <c r="T14" s="309"/>
    </row>
    <row r="15" spans="1:19" s="310" customFormat="1" ht="24.75" customHeight="1">
      <c r="A15" s="328"/>
      <c r="B15" s="476" t="s">
        <v>11</v>
      </c>
      <c r="C15" s="328" t="s">
        <v>12</v>
      </c>
      <c r="D15" s="348">
        <v>57.9</v>
      </c>
      <c r="E15" s="641">
        <f aca="true" t="shared" si="2" ref="E15:Q15">E14/E9*100</f>
        <v>59.55925059336441</v>
      </c>
      <c r="F15" s="327">
        <f t="shared" si="2"/>
        <v>76</v>
      </c>
      <c r="G15" s="642">
        <f t="shared" si="2"/>
        <v>58.835904628330994</v>
      </c>
      <c r="H15" s="327">
        <f t="shared" si="2"/>
        <v>56.99999999999999</v>
      </c>
      <c r="I15" s="642">
        <f t="shared" si="2"/>
        <v>55.79999999999998</v>
      </c>
      <c r="J15" s="327">
        <f t="shared" si="2"/>
        <v>56.00000000000001</v>
      </c>
      <c r="K15" s="642">
        <f t="shared" si="2"/>
        <v>55.8</v>
      </c>
      <c r="L15" s="642">
        <f t="shared" si="2"/>
        <v>58.599999999999994</v>
      </c>
      <c r="M15" s="642">
        <f t="shared" si="2"/>
        <v>58.3</v>
      </c>
      <c r="N15" s="327">
        <f t="shared" si="2"/>
        <v>55.00000000000001</v>
      </c>
      <c r="O15" s="327">
        <f t="shared" si="2"/>
        <v>56.99999999999999</v>
      </c>
      <c r="P15" s="642">
        <f t="shared" si="2"/>
        <v>56.60000000000001</v>
      </c>
      <c r="Q15" s="327">
        <f t="shared" si="2"/>
        <v>55.00000000000001</v>
      </c>
      <c r="R15" s="334">
        <f t="shared" si="1"/>
        <v>102.86571777783145</v>
      </c>
      <c r="S15" s="315"/>
    </row>
    <row r="16" spans="1:19" s="308" customFormat="1" ht="24.75" customHeight="1">
      <c r="A16" s="328">
        <v>2</v>
      </c>
      <c r="B16" s="476" t="s">
        <v>13</v>
      </c>
      <c r="C16" s="328" t="s">
        <v>563</v>
      </c>
      <c r="D16" s="327">
        <v>34196</v>
      </c>
      <c r="E16" s="434"/>
      <c r="F16" s="435"/>
      <c r="G16" s="348"/>
      <c r="H16" s="348"/>
      <c r="I16" s="348"/>
      <c r="J16" s="348"/>
      <c r="K16" s="348"/>
      <c r="L16" s="348"/>
      <c r="M16" s="435"/>
      <c r="N16" s="348"/>
      <c r="O16" s="435"/>
      <c r="P16" s="348"/>
      <c r="Q16" s="435"/>
      <c r="R16" s="334"/>
      <c r="S16" s="311"/>
    </row>
    <row r="17" spans="1:20" s="317" customFormat="1" ht="24.75" customHeight="1">
      <c r="A17" s="296"/>
      <c r="B17" s="481" t="s">
        <v>14</v>
      </c>
      <c r="C17" s="328" t="s">
        <v>563</v>
      </c>
      <c r="D17" s="435">
        <v>5460</v>
      </c>
      <c r="E17" s="436">
        <f>SUM(F17:Q17)</f>
        <v>6489.64</v>
      </c>
      <c r="F17" s="436">
        <f>F14</f>
        <v>6489.64</v>
      </c>
      <c r="G17" s="436"/>
      <c r="H17" s="436"/>
      <c r="I17" s="436"/>
      <c r="J17" s="436"/>
      <c r="K17" s="436"/>
      <c r="L17" s="436"/>
      <c r="M17" s="436"/>
      <c r="N17" s="436"/>
      <c r="O17" s="436"/>
      <c r="P17" s="436"/>
      <c r="Q17" s="436"/>
      <c r="R17" s="334">
        <f t="shared" si="1"/>
        <v>118.85787545787548</v>
      </c>
      <c r="S17" s="316"/>
      <c r="T17" s="316"/>
    </row>
    <row r="18" spans="1:20" s="317" customFormat="1" ht="24.75" customHeight="1">
      <c r="A18" s="296"/>
      <c r="B18" s="481" t="s">
        <v>15</v>
      </c>
      <c r="C18" s="328" t="s">
        <v>563</v>
      </c>
      <c r="D18" s="435">
        <v>28736</v>
      </c>
      <c r="E18" s="435">
        <f>E14-E17</f>
        <v>28892.723999999995</v>
      </c>
      <c r="F18" s="435"/>
      <c r="G18" s="435">
        <f aca="true" t="shared" si="3" ref="G18:Q18">G14-G17</f>
        <v>3356</v>
      </c>
      <c r="H18" s="435">
        <f t="shared" si="3"/>
        <v>4065.24</v>
      </c>
      <c r="I18" s="435">
        <f t="shared" si="3"/>
        <v>2232.5579999999995</v>
      </c>
      <c r="J18" s="435">
        <f t="shared" si="3"/>
        <v>3134.88</v>
      </c>
      <c r="K18" s="435">
        <f t="shared" si="3"/>
        <v>3686.1479999999997</v>
      </c>
      <c r="L18" s="435">
        <f t="shared" si="3"/>
        <v>2023.4579999999999</v>
      </c>
      <c r="M18" s="435">
        <f t="shared" si="3"/>
        <v>2203.74</v>
      </c>
      <c r="N18" s="435">
        <f t="shared" si="3"/>
        <v>1433.8500000000001</v>
      </c>
      <c r="O18" s="435">
        <f t="shared" si="3"/>
        <v>2355.24</v>
      </c>
      <c r="P18" s="435">
        <f t="shared" si="3"/>
        <v>2878.11</v>
      </c>
      <c r="Q18" s="435">
        <f t="shared" si="3"/>
        <v>1523.5000000000002</v>
      </c>
      <c r="R18" s="574">
        <f t="shared" si="1"/>
        <v>100.54539253897548</v>
      </c>
      <c r="S18" s="316"/>
      <c r="T18" s="316"/>
    </row>
    <row r="19" spans="1:19" s="308" customFormat="1" ht="21.75" customHeight="1">
      <c r="A19" s="328">
        <v>3</v>
      </c>
      <c r="B19" s="476" t="s">
        <v>332</v>
      </c>
      <c r="C19" s="328" t="s">
        <v>563</v>
      </c>
      <c r="D19" s="435">
        <v>33077</v>
      </c>
      <c r="E19" s="435">
        <f>SUM(F19:Q19)</f>
        <v>34416.979546</v>
      </c>
      <c r="F19" s="435">
        <f>F14*97%</f>
        <v>6294.9508000000005</v>
      </c>
      <c r="G19" s="435">
        <v>3319</v>
      </c>
      <c r="H19" s="435">
        <f>H14*96.2%</f>
        <v>3910.7608800000003</v>
      </c>
      <c r="I19" s="435">
        <f>I14*97%</f>
        <v>2165.5812599999995</v>
      </c>
      <c r="J19" s="435">
        <f>J14*98%</f>
        <v>3072.1824</v>
      </c>
      <c r="K19" s="435">
        <f>K14*97.2%</f>
        <v>3582.9358559999996</v>
      </c>
      <c r="L19" s="435">
        <f>L14*97.5%</f>
        <v>1972.8715499999998</v>
      </c>
      <c r="M19" s="435">
        <f>M14*97.3%</f>
        <v>2144.2390199999995</v>
      </c>
      <c r="N19" s="435">
        <f>N14*97%</f>
        <v>1390.8345000000002</v>
      </c>
      <c r="O19" s="435">
        <f>O14*97%</f>
        <v>2284.5827999999997</v>
      </c>
      <c r="P19" s="435">
        <f>P14*96.8%</f>
        <v>2786.01048</v>
      </c>
      <c r="Q19" s="435">
        <f>Q14*98%</f>
        <v>1493.0300000000002</v>
      </c>
      <c r="R19" s="574">
        <f t="shared" si="1"/>
        <v>104.05109153188018</v>
      </c>
      <c r="S19" s="311"/>
    </row>
    <row r="20" spans="1:19" s="310" customFormat="1" ht="24.75" customHeight="1">
      <c r="A20" s="328"/>
      <c r="B20" s="476" t="s">
        <v>16</v>
      </c>
      <c r="C20" s="328" t="s">
        <v>12</v>
      </c>
      <c r="D20" s="641">
        <f aca="true" t="shared" si="4" ref="D20:Q20">D19/D14*100</f>
        <v>96.72768744882443</v>
      </c>
      <c r="E20" s="642">
        <f>E19/E14*100</f>
        <v>97.271565986942</v>
      </c>
      <c r="F20" s="327">
        <f t="shared" si="4"/>
        <v>97.00000000000001</v>
      </c>
      <c r="G20" s="642">
        <f t="shared" si="4"/>
        <v>98.89749702026222</v>
      </c>
      <c r="H20" s="642">
        <f t="shared" si="4"/>
        <v>96.2</v>
      </c>
      <c r="I20" s="327">
        <f t="shared" si="4"/>
        <v>97</v>
      </c>
      <c r="J20" s="327">
        <f t="shared" si="4"/>
        <v>98</v>
      </c>
      <c r="K20" s="642">
        <f t="shared" si="4"/>
        <v>97.2</v>
      </c>
      <c r="L20" s="327">
        <f t="shared" si="4"/>
        <v>97.5</v>
      </c>
      <c r="M20" s="642">
        <f t="shared" si="4"/>
        <v>97.29999999999998</v>
      </c>
      <c r="N20" s="327">
        <f t="shared" si="4"/>
        <v>97</v>
      </c>
      <c r="O20" s="327">
        <f t="shared" si="4"/>
        <v>97</v>
      </c>
      <c r="P20" s="642">
        <f t="shared" si="4"/>
        <v>96.8</v>
      </c>
      <c r="Q20" s="327">
        <f t="shared" si="4"/>
        <v>98</v>
      </c>
      <c r="R20" s="332">
        <f>E20-D20</f>
        <v>0.5438785381175677</v>
      </c>
      <c r="S20" s="309"/>
    </row>
    <row r="21" spans="1:19" s="308" customFormat="1" ht="24.75" customHeight="1">
      <c r="A21" s="328"/>
      <c r="B21" s="476" t="s">
        <v>333</v>
      </c>
      <c r="C21" s="328" t="s">
        <v>563</v>
      </c>
      <c r="D21" s="435">
        <v>16075</v>
      </c>
      <c r="E21" s="435">
        <f>SUM(F21:Q21)</f>
        <v>16726.652059355998</v>
      </c>
      <c r="F21" s="435">
        <f>F19*48.6%</f>
        <v>3059.3460888</v>
      </c>
      <c r="G21" s="435">
        <f aca="true" t="shared" si="5" ref="G21:Q21">G19*48.6%</f>
        <v>1613.0339999999999</v>
      </c>
      <c r="H21" s="435">
        <f t="shared" si="5"/>
        <v>1900.6297876800002</v>
      </c>
      <c r="I21" s="435">
        <f t="shared" si="5"/>
        <v>1052.4724923599997</v>
      </c>
      <c r="J21" s="435">
        <f t="shared" si="5"/>
        <v>1493.0806464</v>
      </c>
      <c r="K21" s="435">
        <f t="shared" si="5"/>
        <v>1741.3068260159998</v>
      </c>
      <c r="L21" s="435">
        <f t="shared" si="5"/>
        <v>958.8155732999999</v>
      </c>
      <c r="M21" s="435">
        <f t="shared" si="5"/>
        <v>1042.1001637199997</v>
      </c>
      <c r="N21" s="435">
        <f t="shared" si="5"/>
        <v>675.9455670000001</v>
      </c>
      <c r="O21" s="435">
        <f t="shared" si="5"/>
        <v>1110.3072407999998</v>
      </c>
      <c r="P21" s="435">
        <f t="shared" si="5"/>
        <v>1354.0010932799998</v>
      </c>
      <c r="Q21" s="435">
        <f t="shared" si="5"/>
        <v>725.6125800000001</v>
      </c>
      <c r="R21" s="574">
        <f t="shared" si="1"/>
        <v>104.05382307530948</v>
      </c>
      <c r="S21" s="311"/>
    </row>
    <row r="22" spans="1:19" s="308" customFormat="1" ht="33.75" customHeight="1">
      <c r="A22" s="328">
        <v>4</v>
      </c>
      <c r="B22" s="476" t="s">
        <v>565</v>
      </c>
      <c r="C22" s="328" t="s">
        <v>563</v>
      </c>
      <c r="D22" s="435">
        <v>32614</v>
      </c>
      <c r="E22" s="435">
        <f>SUM(F22:Q22)</f>
        <v>33935.60783235599</v>
      </c>
      <c r="F22" s="435">
        <f>F19*F23/100</f>
        <v>6206.8214888</v>
      </c>
      <c r="G22" s="731">
        <v>3273</v>
      </c>
      <c r="H22" s="435">
        <f aca="true" t="shared" si="6" ref="H22:Q22">H19*H23/100</f>
        <v>3856.0102276800003</v>
      </c>
      <c r="I22" s="435">
        <f t="shared" si="6"/>
        <v>2135.263122359999</v>
      </c>
      <c r="J22" s="435">
        <f t="shared" si="6"/>
        <v>3029.1718464</v>
      </c>
      <c r="K22" s="435">
        <f t="shared" si="6"/>
        <v>3532.7747540159994</v>
      </c>
      <c r="L22" s="435">
        <f t="shared" si="6"/>
        <v>1945.2513482999996</v>
      </c>
      <c r="M22" s="435">
        <f t="shared" si="6"/>
        <v>2114.2196737199997</v>
      </c>
      <c r="N22" s="435">
        <f t="shared" si="6"/>
        <v>1371.3628170000002</v>
      </c>
      <c r="O22" s="435">
        <f t="shared" si="6"/>
        <v>2252.5986407999994</v>
      </c>
      <c r="P22" s="435">
        <f t="shared" si="6"/>
        <v>2747.0063332799996</v>
      </c>
      <c r="Q22" s="435">
        <f t="shared" si="6"/>
        <v>1472.12758</v>
      </c>
      <c r="R22" s="574">
        <f t="shared" si="1"/>
        <v>104.05227151639171</v>
      </c>
      <c r="S22" s="311"/>
    </row>
    <row r="23" spans="1:19" s="308" customFormat="1" ht="24.75" customHeight="1">
      <c r="A23" s="328"/>
      <c r="B23" s="476" t="s">
        <v>566</v>
      </c>
      <c r="C23" s="333" t="s">
        <v>12</v>
      </c>
      <c r="D23" s="348">
        <f>D22/D19*100</f>
        <v>98.60023581340509</v>
      </c>
      <c r="E23" s="348">
        <f>E22/E19*100</f>
        <v>98.6013539828484</v>
      </c>
      <c r="F23" s="348">
        <v>98.6</v>
      </c>
      <c r="G23" s="348">
        <v>98.6</v>
      </c>
      <c r="H23" s="348">
        <v>98.6</v>
      </c>
      <c r="I23" s="348">
        <v>98.6</v>
      </c>
      <c r="J23" s="348">
        <v>98.6</v>
      </c>
      <c r="K23" s="348">
        <v>98.6</v>
      </c>
      <c r="L23" s="348">
        <v>98.6</v>
      </c>
      <c r="M23" s="348">
        <v>98.6</v>
      </c>
      <c r="N23" s="348">
        <v>98.6</v>
      </c>
      <c r="O23" s="348">
        <v>98.6</v>
      </c>
      <c r="P23" s="348">
        <v>98.6</v>
      </c>
      <c r="Q23" s="348">
        <v>98.6</v>
      </c>
      <c r="R23" s="332"/>
      <c r="S23" s="311"/>
    </row>
    <row r="24" spans="1:19" s="308" customFormat="1" ht="24.75" customHeight="1">
      <c r="A24" s="328"/>
      <c r="B24" s="476" t="s">
        <v>17</v>
      </c>
      <c r="C24" s="328" t="s">
        <v>563</v>
      </c>
      <c r="D24" s="327">
        <v>15850</v>
      </c>
      <c r="E24" s="436">
        <f>SUM(F24:Q24)</f>
        <v>16492.705406525016</v>
      </c>
      <c r="F24" s="436">
        <f>F22*48.6%</f>
        <v>3016.5152435568</v>
      </c>
      <c r="G24" s="436">
        <f aca="true" t="shared" si="7" ref="G24:Q24">G22*48.6%</f>
        <v>1590.6779999999999</v>
      </c>
      <c r="H24" s="436">
        <f t="shared" si="7"/>
        <v>1874.0209706524802</v>
      </c>
      <c r="I24" s="436">
        <f t="shared" si="7"/>
        <v>1037.7378774669596</v>
      </c>
      <c r="J24" s="436">
        <f t="shared" si="7"/>
        <v>1472.1775173504</v>
      </c>
      <c r="K24" s="436">
        <f t="shared" si="7"/>
        <v>1716.9285304517757</v>
      </c>
      <c r="L24" s="436">
        <f t="shared" si="7"/>
        <v>945.3921552737997</v>
      </c>
      <c r="M24" s="436">
        <f t="shared" si="7"/>
        <v>1027.5107614279198</v>
      </c>
      <c r="N24" s="436">
        <f t="shared" si="7"/>
        <v>666.4823290620001</v>
      </c>
      <c r="O24" s="436">
        <f t="shared" si="7"/>
        <v>1094.7629394287997</v>
      </c>
      <c r="P24" s="436">
        <f t="shared" si="7"/>
        <v>1335.0450779740797</v>
      </c>
      <c r="Q24" s="436">
        <f t="shared" si="7"/>
        <v>715.4540038800001</v>
      </c>
      <c r="R24" s="574">
        <f t="shared" si="1"/>
        <v>104.0549237004733</v>
      </c>
      <c r="S24" s="311"/>
    </row>
    <row r="25" spans="1:18" s="308" customFormat="1" ht="24.75" customHeight="1">
      <c r="A25" s="328" t="s">
        <v>193</v>
      </c>
      <c r="B25" s="476" t="s">
        <v>18</v>
      </c>
      <c r="C25" s="328" t="s">
        <v>563</v>
      </c>
      <c r="D25" s="327">
        <v>9096</v>
      </c>
      <c r="E25" s="436">
        <f>SUM(F25:Q25)</f>
        <v>9950.19498142947</v>
      </c>
      <c r="F25" s="327">
        <f>F26*F22/100</f>
        <v>2333.7648797888005</v>
      </c>
      <c r="G25" s="327">
        <f aca="true" t="shared" si="8" ref="G25:Q25">G26*G22/100</f>
        <v>936.078</v>
      </c>
      <c r="H25" s="327">
        <f t="shared" si="8"/>
        <v>1041.1227614736001</v>
      </c>
      <c r="I25" s="327">
        <f t="shared" si="8"/>
        <v>595.7384111384398</v>
      </c>
      <c r="J25" s="327">
        <f t="shared" si="8"/>
        <v>845.1389451456</v>
      </c>
      <c r="K25" s="327">
        <f t="shared" si="8"/>
        <v>982.1113816164479</v>
      </c>
      <c r="L25" s="327">
        <f t="shared" si="8"/>
        <v>515.4916072994998</v>
      </c>
      <c r="M25" s="327">
        <f t="shared" si="8"/>
        <v>581.4104102729999</v>
      </c>
      <c r="N25" s="327">
        <f t="shared" si="8"/>
        <v>334.612527348</v>
      </c>
      <c r="O25" s="327">
        <f t="shared" si="8"/>
        <v>621.7172248607999</v>
      </c>
      <c r="P25" s="327">
        <f t="shared" si="8"/>
        <v>758.1737479852799</v>
      </c>
      <c r="Q25" s="327">
        <f t="shared" si="8"/>
        <v>404.8350845</v>
      </c>
      <c r="R25" s="574">
        <f t="shared" si="1"/>
        <v>109.39088589962039</v>
      </c>
    </row>
    <row r="26" spans="1:18" s="318" customFormat="1" ht="32.25" customHeight="1">
      <c r="A26" s="333"/>
      <c r="B26" s="482" t="s">
        <v>567</v>
      </c>
      <c r="C26" s="333" t="s">
        <v>12</v>
      </c>
      <c r="D26" s="645">
        <v>27.9</v>
      </c>
      <c r="E26" s="644">
        <f>E25/E22*100</f>
        <v>29.320809665717647</v>
      </c>
      <c r="F26" s="646">
        <v>37.6</v>
      </c>
      <c r="G26" s="646">
        <v>28.6</v>
      </c>
      <c r="H26" s="647">
        <v>27</v>
      </c>
      <c r="I26" s="646">
        <v>27.9</v>
      </c>
      <c r="J26" s="646">
        <v>27.9</v>
      </c>
      <c r="K26" s="646">
        <v>27.8</v>
      </c>
      <c r="L26" s="646">
        <v>26.5</v>
      </c>
      <c r="M26" s="646">
        <v>27.5</v>
      </c>
      <c r="N26" s="646">
        <v>24.4</v>
      </c>
      <c r="O26" s="646">
        <v>27.6</v>
      </c>
      <c r="P26" s="646">
        <v>27.6</v>
      </c>
      <c r="Q26" s="646">
        <v>27.5</v>
      </c>
      <c r="R26" s="334">
        <f>E26-D26</f>
        <v>1.4208096657176483</v>
      </c>
    </row>
    <row r="27" spans="1:18" s="308" customFormat="1" ht="24.75" customHeight="1">
      <c r="A27" s="328" t="s">
        <v>194</v>
      </c>
      <c r="B27" s="476" t="s">
        <v>19</v>
      </c>
      <c r="C27" s="328" t="s">
        <v>563</v>
      </c>
      <c r="D27" s="327">
        <v>19094</v>
      </c>
      <c r="E27" s="327">
        <f>SUM(F27:Q27)</f>
        <v>19849.869137911195</v>
      </c>
      <c r="F27" s="327">
        <f aca="true" t="shared" si="9" ref="F27:Q27">F28*F22/100</f>
        <v>2477.14245618008</v>
      </c>
      <c r="G27" s="327">
        <f t="shared" si="9"/>
        <v>1891.7939999999999</v>
      </c>
      <c r="H27" s="327">
        <f t="shared" si="9"/>
        <v>2217.2058809160003</v>
      </c>
      <c r="I27" s="327">
        <f t="shared" si="9"/>
        <v>1302.5105046395995</v>
      </c>
      <c r="J27" s="327">
        <f t="shared" si="9"/>
        <v>1826.5906233791998</v>
      </c>
      <c r="K27" s="327">
        <f t="shared" si="9"/>
        <v>2366.9590851907196</v>
      </c>
      <c r="L27" s="327">
        <f t="shared" si="9"/>
        <v>1322.7709168439997</v>
      </c>
      <c r="M27" s="327">
        <f t="shared" si="9"/>
        <v>1374.242787918</v>
      </c>
      <c r="N27" s="327">
        <f t="shared" si="9"/>
        <v>891.3858310500001</v>
      </c>
      <c r="O27" s="327">
        <f t="shared" si="9"/>
        <v>1396.6111572959996</v>
      </c>
      <c r="P27" s="327">
        <f t="shared" si="9"/>
        <v>1840.4942432975995</v>
      </c>
      <c r="Q27" s="327">
        <f t="shared" si="9"/>
        <v>942.1616512</v>
      </c>
      <c r="R27" s="574">
        <f t="shared" si="1"/>
        <v>103.9586736038085</v>
      </c>
    </row>
    <row r="28" spans="1:18" s="318" customFormat="1" ht="33" customHeight="1">
      <c r="A28" s="333"/>
      <c r="B28" s="482" t="s">
        <v>567</v>
      </c>
      <c r="C28" s="333" t="s">
        <v>12</v>
      </c>
      <c r="D28" s="645">
        <v>58.5</v>
      </c>
      <c r="E28" s="644">
        <f>E27/E22*100</f>
        <v>58.49274672188216</v>
      </c>
      <c r="F28" s="648">
        <v>39.91</v>
      </c>
      <c r="G28" s="648">
        <v>57.8</v>
      </c>
      <c r="H28" s="648">
        <v>57.5</v>
      </c>
      <c r="I28" s="649">
        <v>61</v>
      </c>
      <c r="J28" s="648">
        <v>60.3</v>
      </c>
      <c r="K28" s="649">
        <v>67</v>
      </c>
      <c r="L28" s="649">
        <v>68</v>
      </c>
      <c r="M28" s="649">
        <v>65</v>
      </c>
      <c r="N28" s="649">
        <v>65</v>
      </c>
      <c r="O28" s="649">
        <v>62</v>
      </c>
      <c r="P28" s="649">
        <v>67</v>
      </c>
      <c r="Q28" s="649">
        <v>64</v>
      </c>
      <c r="R28" s="334">
        <f>E28-D28</f>
        <v>-0.0072532781178367145</v>
      </c>
    </row>
    <row r="29" spans="1:18" s="308" customFormat="1" ht="24.75" customHeight="1">
      <c r="A29" s="325" t="s">
        <v>195</v>
      </c>
      <c r="B29" s="476" t="s">
        <v>20</v>
      </c>
      <c r="C29" s="328" t="s">
        <v>563</v>
      </c>
      <c r="D29" s="327">
        <v>4424</v>
      </c>
      <c r="E29" s="327">
        <f>SUM(F29:Q29)</f>
        <v>4135.543713015331</v>
      </c>
      <c r="F29" s="327">
        <f aca="true" t="shared" si="10" ref="F29:Q29">F22-F25-F27</f>
        <v>1395.9141528311197</v>
      </c>
      <c r="G29" s="327">
        <f t="shared" si="10"/>
        <v>445.12800000000016</v>
      </c>
      <c r="H29" s="327">
        <f t="shared" si="10"/>
        <v>597.6815852903997</v>
      </c>
      <c r="I29" s="327">
        <f t="shared" si="10"/>
        <v>237.0142065819598</v>
      </c>
      <c r="J29" s="327">
        <f t="shared" si="10"/>
        <v>357.44227787520003</v>
      </c>
      <c r="K29" s="327">
        <f t="shared" si="10"/>
        <v>183.70428720883183</v>
      </c>
      <c r="L29" s="327">
        <f t="shared" si="10"/>
        <v>106.98882415649996</v>
      </c>
      <c r="M29" s="327">
        <f t="shared" si="10"/>
        <v>158.56647552899994</v>
      </c>
      <c r="N29" s="327">
        <f t="shared" si="10"/>
        <v>145.36445860200013</v>
      </c>
      <c r="O29" s="327">
        <f t="shared" si="10"/>
        <v>234.2702586431999</v>
      </c>
      <c r="P29" s="327">
        <f t="shared" si="10"/>
        <v>148.3383419971201</v>
      </c>
      <c r="Q29" s="327">
        <f t="shared" si="10"/>
        <v>125.13084430000004</v>
      </c>
      <c r="R29" s="574">
        <f t="shared" si="1"/>
        <v>93.47974034844782</v>
      </c>
    </row>
    <row r="30" spans="1:18" s="308" customFormat="1" ht="32.25" customHeight="1">
      <c r="A30" s="325"/>
      <c r="B30" s="482" t="s">
        <v>567</v>
      </c>
      <c r="C30" s="334" t="s">
        <v>12</v>
      </c>
      <c r="D30" s="645">
        <v>13.6</v>
      </c>
      <c r="E30" s="644">
        <f>E29/E22*100</f>
        <v>12.186443612400208</v>
      </c>
      <c r="F30" s="645">
        <f aca="true" t="shared" si="11" ref="F30:Q30">100-F28-F26</f>
        <v>22.490000000000002</v>
      </c>
      <c r="G30" s="645">
        <f t="shared" si="11"/>
        <v>13.600000000000001</v>
      </c>
      <c r="H30" s="336">
        <f t="shared" si="11"/>
        <v>15.5</v>
      </c>
      <c r="I30" s="645">
        <f t="shared" si="11"/>
        <v>11.100000000000001</v>
      </c>
      <c r="J30" s="645">
        <f t="shared" si="11"/>
        <v>11.800000000000004</v>
      </c>
      <c r="K30" s="645">
        <f t="shared" si="11"/>
        <v>5.199999999999999</v>
      </c>
      <c r="L30" s="336">
        <f t="shared" si="11"/>
        <v>5.5</v>
      </c>
      <c r="M30" s="645">
        <f t="shared" si="11"/>
        <v>7.5</v>
      </c>
      <c r="N30" s="336">
        <f t="shared" si="11"/>
        <v>10.600000000000001</v>
      </c>
      <c r="O30" s="645">
        <f t="shared" si="11"/>
        <v>10.399999999999999</v>
      </c>
      <c r="P30" s="645">
        <f t="shared" si="11"/>
        <v>5.399999999999999</v>
      </c>
      <c r="Q30" s="336">
        <f t="shared" si="11"/>
        <v>8.5</v>
      </c>
      <c r="R30" s="334">
        <f>E30-D30</f>
        <v>-1.413556387599792</v>
      </c>
    </row>
    <row r="31" spans="1:18" s="308" customFormat="1" ht="24.75" customHeight="1">
      <c r="A31" s="328">
        <v>5</v>
      </c>
      <c r="B31" s="483" t="s">
        <v>21</v>
      </c>
      <c r="C31" s="328" t="s">
        <v>563</v>
      </c>
      <c r="D31" s="327">
        <v>9547</v>
      </c>
      <c r="E31" s="327">
        <f>SUM(F31:Q31)</f>
        <v>11475.240961360003</v>
      </c>
      <c r="F31" s="327">
        <f aca="true" t="shared" si="12" ref="F31:Q31">F32*F19/100</f>
        <v>5476.607196000001</v>
      </c>
      <c r="G31" s="327">
        <v>900</v>
      </c>
      <c r="H31" s="327">
        <f t="shared" si="12"/>
        <v>899.4750024000001</v>
      </c>
      <c r="I31" s="327">
        <f t="shared" si="12"/>
        <v>597.7004277599999</v>
      </c>
      <c r="J31" s="327">
        <f t="shared" si="12"/>
        <v>522.271008</v>
      </c>
      <c r="K31" s="327">
        <f t="shared" si="12"/>
        <v>788.24588832</v>
      </c>
      <c r="L31" s="327">
        <f t="shared" si="12"/>
        <v>611.5901805</v>
      </c>
      <c r="M31" s="327">
        <f t="shared" si="12"/>
        <v>340.9340041799999</v>
      </c>
      <c r="N31" s="327">
        <f t="shared" si="12"/>
        <v>152.99179500000002</v>
      </c>
      <c r="O31" s="327">
        <f t="shared" si="12"/>
        <v>434.0707319999999</v>
      </c>
      <c r="P31" s="327">
        <f t="shared" si="12"/>
        <v>390.04146719999994</v>
      </c>
      <c r="Q31" s="327">
        <f t="shared" si="12"/>
        <v>361.31326</v>
      </c>
      <c r="R31" s="737">
        <f t="shared" si="1"/>
        <v>120.19734954813033</v>
      </c>
    </row>
    <row r="32" spans="1:18" s="308" customFormat="1" ht="31.5" customHeight="1">
      <c r="A32" s="328"/>
      <c r="B32" s="483" t="s">
        <v>670</v>
      </c>
      <c r="C32" s="334" t="s">
        <v>12</v>
      </c>
      <c r="D32" s="645">
        <v>28.9</v>
      </c>
      <c r="E32" s="645">
        <f>E31/E19*100</f>
        <v>33.34180138039938</v>
      </c>
      <c r="F32" s="336">
        <v>87</v>
      </c>
      <c r="G32" s="645">
        <v>27.1</v>
      </c>
      <c r="H32" s="336">
        <v>23</v>
      </c>
      <c r="I32" s="645">
        <v>27.6</v>
      </c>
      <c r="J32" s="336">
        <v>17</v>
      </c>
      <c r="K32" s="336">
        <v>22</v>
      </c>
      <c r="L32" s="336">
        <v>31</v>
      </c>
      <c r="M32" s="645">
        <v>15.9</v>
      </c>
      <c r="N32" s="336">
        <v>11</v>
      </c>
      <c r="O32" s="336">
        <v>19</v>
      </c>
      <c r="P32" s="336">
        <v>14</v>
      </c>
      <c r="Q32" s="645">
        <v>24.2</v>
      </c>
      <c r="R32" s="334">
        <f>E32-D32</f>
        <v>4.441801380399383</v>
      </c>
    </row>
    <row r="33" spans="1:18" s="310" customFormat="1" ht="33.75" customHeight="1">
      <c r="A33" s="328">
        <v>6</v>
      </c>
      <c r="B33" s="476" t="s">
        <v>665</v>
      </c>
      <c r="C33" s="328" t="s">
        <v>563</v>
      </c>
      <c r="D33" s="327">
        <v>700</v>
      </c>
      <c r="E33" s="327">
        <f>SUM(F33:Q33)</f>
        <v>700</v>
      </c>
      <c r="F33" s="327">
        <v>50</v>
      </c>
      <c r="G33" s="327">
        <v>110</v>
      </c>
      <c r="H33" s="327">
        <v>100</v>
      </c>
      <c r="I33" s="327">
        <v>55</v>
      </c>
      <c r="J33" s="327">
        <v>60</v>
      </c>
      <c r="K33" s="327">
        <v>70</v>
      </c>
      <c r="L33" s="327">
        <v>50</v>
      </c>
      <c r="M33" s="327">
        <v>50</v>
      </c>
      <c r="N33" s="327">
        <v>35</v>
      </c>
      <c r="O33" s="327">
        <v>40</v>
      </c>
      <c r="P33" s="327">
        <v>40</v>
      </c>
      <c r="Q33" s="327">
        <v>40</v>
      </c>
      <c r="R33" s="736">
        <f t="shared" si="1"/>
        <v>100</v>
      </c>
    </row>
    <row r="34" spans="1:18" s="310" customFormat="1" ht="37.5" customHeight="1">
      <c r="A34" s="328"/>
      <c r="B34" s="476" t="s">
        <v>628</v>
      </c>
      <c r="C34" s="328" t="s">
        <v>563</v>
      </c>
      <c r="D34" s="327">
        <v>100</v>
      </c>
      <c r="E34" s="327">
        <f>SUM(F34:Q34)</f>
        <v>100</v>
      </c>
      <c r="F34" s="327">
        <v>18</v>
      </c>
      <c r="G34" s="327">
        <v>33</v>
      </c>
      <c r="H34" s="327">
        <v>8</v>
      </c>
      <c r="I34" s="327">
        <v>4</v>
      </c>
      <c r="J34" s="327">
        <v>7</v>
      </c>
      <c r="K34" s="327">
        <v>10</v>
      </c>
      <c r="L34" s="327">
        <v>2</v>
      </c>
      <c r="M34" s="327">
        <v>4</v>
      </c>
      <c r="N34" s="327">
        <v>2</v>
      </c>
      <c r="O34" s="327">
        <v>6</v>
      </c>
      <c r="P34" s="327">
        <v>4</v>
      </c>
      <c r="Q34" s="327">
        <v>2</v>
      </c>
      <c r="R34" s="736">
        <f t="shared" si="1"/>
        <v>100</v>
      </c>
    </row>
    <row r="35" spans="1:18" s="310" customFormat="1" ht="24.75" customHeight="1">
      <c r="A35" s="328"/>
      <c r="B35" s="476" t="s">
        <v>629</v>
      </c>
      <c r="C35" s="328" t="s">
        <v>563</v>
      </c>
      <c r="D35" s="327">
        <v>1</v>
      </c>
      <c r="E35" s="337">
        <v>5</v>
      </c>
      <c r="F35" s="337"/>
      <c r="G35" s="327">
        <v>1</v>
      </c>
      <c r="H35" s="337">
        <v>1</v>
      </c>
      <c r="I35" s="337"/>
      <c r="J35" s="337"/>
      <c r="K35" s="337"/>
      <c r="L35" s="337"/>
      <c r="M35" s="337"/>
      <c r="N35" s="337"/>
      <c r="O35" s="337"/>
      <c r="P35" s="337">
        <v>1</v>
      </c>
      <c r="Q35" s="337">
        <v>2</v>
      </c>
      <c r="R35" s="736">
        <f t="shared" si="1"/>
        <v>500</v>
      </c>
    </row>
    <row r="36" spans="1:18" s="308" customFormat="1" ht="24.75" customHeight="1">
      <c r="A36" s="328">
        <v>7</v>
      </c>
      <c r="B36" s="476" t="s">
        <v>23</v>
      </c>
      <c r="C36" s="328" t="s">
        <v>12</v>
      </c>
      <c r="D36" s="337">
        <v>2.5</v>
      </c>
      <c r="E36" s="650">
        <f>F36</f>
        <v>1.7</v>
      </c>
      <c r="F36" s="337">
        <v>1.7</v>
      </c>
      <c r="G36" s="337"/>
      <c r="H36" s="337"/>
      <c r="I36" s="337"/>
      <c r="J36" s="337"/>
      <c r="K36" s="337"/>
      <c r="L36" s="337"/>
      <c r="M36" s="337"/>
      <c r="N36" s="337"/>
      <c r="O36" s="337"/>
      <c r="P36" s="337"/>
      <c r="Q36" s="337"/>
      <c r="R36" s="643">
        <f>E36-D36</f>
        <v>-0.8</v>
      </c>
    </row>
    <row r="37" spans="1:18" s="313" customFormat="1" ht="24.75" customHeight="1">
      <c r="A37" s="324" t="s">
        <v>196</v>
      </c>
      <c r="B37" s="480" t="s">
        <v>24</v>
      </c>
      <c r="C37" s="324"/>
      <c r="D37" s="338"/>
      <c r="E37" s="434"/>
      <c r="F37" s="338"/>
      <c r="G37" s="338"/>
      <c r="H37" s="338"/>
      <c r="I37" s="338"/>
      <c r="J37" s="338"/>
      <c r="K37" s="338"/>
      <c r="L37" s="338"/>
      <c r="M37" s="338"/>
      <c r="N37" s="338"/>
      <c r="O37" s="338"/>
      <c r="P37" s="338"/>
      <c r="Q37" s="338"/>
      <c r="R37" s="571"/>
    </row>
    <row r="38" spans="1:18" s="308" customFormat="1" ht="24.75" customHeight="1">
      <c r="A38" s="328">
        <v>1</v>
      </c>
      <c r="B38" s="476" t="s">
        <v>363</v>
      </c>
      <c r="C38" s="335" t="s">
        <v>25</v>
      </c>
      <c r="D38" s="336">
        <v>382</v>
      </c>
      <c r="E38" s="336">
        <f>SUM(F38:Q38)</f>
        <v>392</v>
      </c>
      <c r="F38" s="342">
        <v>65</v>
      </c>
      <c r="G38" s="342">
        <v>25</v>
      </c>
      <c r="H38" s="342">
        <v>102</v>
      </c>
      <c r="I38" s="342">
        <v>21</v>
      </c>
      <c r="J38" s="342">
        <v>25</v>
      </c>
      <c r="K38" s="342">
        <v>7</v>
      </c>
      <c r="L38" s="342">
        <v>12</v>
      </c>
      <c r="M38" s="342">
        <v>6</v>
      </c>
      <c r="N38" s="342">
        <v>13</v>
      </c>
      <c r="O38" s="342">
        <v>47</v>
      </c>
      <c r="P38" s="342">
        <v>14</v>
      </c>
      <c r="Q38" s="342">
        <v>55</v>
      </c>
      <c r="R38" s="334">
        <f>E38/D38*100</f>
        <v>102.61780104712042</v>
      </c>
    </row>
    <row r="39" spans="1:18" s="308" customFormat="1" ht="47.25" customHeight="1">
      <c r="A39" s="328">
        <v>2</v>
      </c>
      <c r="B39" s="476" t="s">
        <v>570</v>
      </c>
      <c r="C39" s="335" t="s">
        <v>25</v>
      </c>
      <c r="D39" s="336">
        <v>347</v>
      </c>
      <c r="E39" s="336">
        <f>SUM(F39:Q39)</f>
        <v>365</v>
      </c>
      <c r="F39" s="342">
        <v>65</v>
      </c>
      <c r="G39" s="342">
        <v>25</v>
      </c>
      <c r="H39" s="342">
        <v>95</v>
      </c>
      <c r="I39" s="342">
        <v>18</v>
      </c>
      <c r="J39" s="342">
        <v>23</v>
      </c>
      <c r="K39" s="342">
        <v>5</v>
      </c>
      <c r="L39" s="342">
        <v>9</v>
      </c>
      <c r="M39" s="342">
        <v>4</v>
      </c>
      <c r="N39" s="342">
        <v>11</v>
      </c>
      <c r="O39" s="342">
        <v>45</v>
      </c>
      <c r="P39" s="342">
        <v>12</v>
      </c>
      <c r="Q39" s="342">
        <v>53</v>
      </c>
      <c r="R39" s="334">
        <f>E39/D39*100</f>
        <v>105.18731988472622</v>
      </c>
    </row>
    <row r="40" spans="1:19" s="308" customFormat="1" ht="32.25" customHeight="1">
      <c r="A40" s="328">
        <v>3</v>
      </c>
      <c r="B40" s="476" t="s">
        <v>568</v>
      </c>
      <c r="C40" s="356" t="s">
        <v>569</v>
      </c>
      <c r="D40" s="336">
        <v>7</v>
      </c>
      <c r="E40" s="336">
        <f>SUM(F40:Q40)</f>
        <v>9</v>
      </c>
      <c r="F40" s="343">
        <v>1</v>
      </c>
      <c r="G40" s="343">
        <v>1</v>
      </c>
      <c r="H40" s="343">
        <v>1</v>
      </c>
      <c r="I40" s="343">
        <v>1</v>
      </c>
      <c r="J40" s="343">
        <v>1</v>
      </c>
      <c r="K40" s="343">
        <v>1</v>
      </c>
      <c r="L40" s="343">
        <v>1</v>
      </c>
      <c r="M40" s="343"/>
      <c r="N40" s="343"/>
      <c r="O40" s="343">
        <v>1</v>
      </c>
      <c r="P40" s="343">
        <v>1</v>
      </c>
      <c r="Q40" s="340"/>
      <c r="R40" s="334">
        <f>E40/D40*100</f>
        <v>128.57142857142858</v>
      </c>
      <c r="S40" s="319"/>
    </row>
    <row r="41" spans="1:19" s="308" customFormat="1" ht="32.25" customHeight="1">
      <c r="A41" s="328"/>
      <c r="B41" s="484" t="s">
        <v>409</v>
      </c>
      <c r="C41" s="262" t="s">
        <v>12</v>
      </c>
      <c r="D41" s="349">
        <f>D40/12*100</f>
        <v>58.333333333333336</v>
      </c>
      <c r="E41" s="342">
        <f>E40/12*100</f>
        <v>75</v>
      </c>
      <c r="F41" s="340">
        <v>100</v>
      </c>
      <c r="G41" s="340">
        <v>100</v>
      </c>
      <c r="H41" s="340">
        <v>100</v>
      </c>
      <c r="I41" s="340">
        <v>100</v>
      </c>
      <c r="J41" s="340">
        <v>100</v>
      </c>
      <c r="K41" s="340">
        <v>100</v>
      </c>
      <c r="L41" s="340">
        <v>100</v>
      </c>
      <c r="M41" s="340">
        <v>100</v>
      </c>
      <c r="N41" s="340"/>
      <c r="O41" s="340">
        <v>100</v>
      </c>
      <c r="P41" s="340">
        <v>100</v>
      </c>
      <c r="Q41" s="340"/>
      <c r="R41" s="334">
        <f>E41-D41</f>
        <v>16.666666666666664</v>
      </c>
      <c r="S41" s="319"/>
    </row>
    <row r="42" spans="1:18" s="308" customFormat="1" ht="36" customHeight="1">
      <c r="A42" s="328">
        <v>4</v>
      </c>
      <c r="B42" s="476" t="s">
        <v>571</v>
      </c>
      <c r="C42" s="335" t="s">
        <v>25</v>
      </c>
      <c r="D42" s="336">
        <v>27</v>
      </c>
      <c r="E42" s="336">
        <f aca="true" t="shared" si="13" ref="E42:E47">SUM(F42:Q42)</f>
        <v>22</v>
      </c>
      <c r="F42" s="342">
        <v>4</v>
      </c>
      <c r="G42" s="342">
        <v>1</v>
      </c>
      <c r="H42" s="342">
        <v>2</v>
      </c>
      <c r="I42" s="342">
        <v>2</v>
      </c>
      <c r="J42" s="342">
        <v>3</v>
      </c>
      <c r="K42" s="342">
        <v>2</v>
      </c>
      <c r="L42" s="342">
        <v>1</v>
      </c>
      <c r="M42" s="342">
        <v>1</v>
      </c>
      <c r="N42" s="342">
        <v>1</v>
      </c>
      <c r="O42" s="342">
        <v>2</v>
      </c>
      <c r="P42" s="342">
        <v>1</v>
      </c>
      <c r="Q42" s="342">
        <v>2</v>
      </c>
      <c r="R42" s="334">
        <f>E42/D42*100</f>
        <v>81.48148148148148</v>
      </c>
    </row>
    <row r="43" spans="1:18" s="308" customFormat="1" ht="31.5" customHeight="1">
      <c r="A43" s="328">
        <v>5</v>
      </c>
      <c r="B43" s="476" t="s">
        <v>364</v>
      </c>
      <c r="C43" s="335" t="s">
        <v>25</v>
      </c>
      <c r="D43" s="336">
        <v>42</v>
      </c>
      <c r="E43" s="336">
        <f t="shared" si="13"/>
        <v>41</v>
      </c>
      <c r="F43" s="342">
        <v>6</v>
      </c>
      <c r="G43" s="342">
        <v>2</v>
      </c>
      <c r="H43" s="342">
        <v>5</v>
      </c>
      <c r="I43" s="342">
        <v>2</v>
      </c>
      <c r="J43" s="342">
        <v>4</v>
      </c>
      <c r="K43" s="342">
        <v>5</v>
      </c>
      <c r="L43" s="342">
        <v>2</v>
      </c>
      <c r="M43" s="342">
        <v>6</v>
      </c>
      <c r="N43" s="342">
        <v>2</v>
      </c>
      <c r="O43" s="342">
        <v>3</v>
      </c>
      <c r="P43" s="342">
        <v>2</v>
      </c>
      <c r="Q43" s="342">
        <v>2</v>
      </c>
      <c r="R43" s="334">
        <f>E43/D43*100</f>
        <v>97.61904761904762</v>
      </c>
    </row>
    <row r="44" spans="1:18" s="308" customFormat="1" ht="31.5" customHeight="1">
      <c r="A44" s="341">
        <v>6</v>
      </c>
      <c r="B44" s="481" t="s">
        <v>410</v>
      </c>
      <c r="C44" s="339" t="s">
        <v>67</v>
      </c>
      <c r="D44" s="342">
        <v>22</v>
      </c>
      <c r="E44" s="336">
        <f t="shared" si="13"/>
        <v>22</v>
      </c>
      <c r="F44" s="342">
        <v>2</v>
      </c>
      <c r="G44" s="342">
        <v>1</v>
      </c>
      <c r="H44" s="342">
        <v>4</v>
      </c>
      <c r="I44" s="342"/>
      <c r="J44" s="342">
        <v>3</v>
      </c>
      <c r="K44" s="342"/>
      <c r="L44" s="342">
        <v>1</v>
      </c>
      <c r="M44" s="342">
        <v>4</v>
      </c>
      <c r="N44" s="342"/>
      <c r="O44" s="342">
        <v>5</v>
      </c>
      <c r="P44" s="342"/>
      <c r="Q44" s="342">
        <v>2</v>
      </c>
      <c r="R44" s="335">
        <f>E44/D44*100</f>
        <v>100</v>
      </c>
    </row>
    <row r="45" spans="1:18" s="308" customFormat="1" ht="21.75" customHeight="1">
      <c r="A45" s="344">
        <v>7</v>
      </c>
      <c r="B45" s="481" t="s">
        <v>411</v>
      </c>
      <c r="C45" s="339" t="s">
        <v>412</v>
      </c>
      <c r="D45" s="342"/>
      <c r="E45" s="336">
        <f t="shared" si="13"/>
        <v>0</v>
      </c>
      <c r="F45" s="336"/>
      <c r="G45" s="336"/>
      <c r="H45" s="336"/>
      <c r="I45" s="336"/>
      <c r="J45" s="336"/>
      <c r="K45" s="336"/>
      <c r="L45" s="336"/>
      <c r="M45" s="336"/>
      <c r="N45" s="336"/>
      <c r="O45" s="336"/>
      <c r="P45" s="336"/>
      <c r="Q45" s="336"/>
      <c r="R45" s="334"/>
    </row>
    <row r="46" spans="1:18" s="308" customFormat="1" ht="18" customHeight="1">
      <c r="A46" s="341">
        <v>8</v>
      </c>
      <c r="B46" s="481" t="s">
        <v>413</v>
      </c>
      <c r="C46" s="339" t="s">
        <v>412</v>
      </c>
      <c r="D46" s="342"/>
      <c r="E46" s="336">
        <f t="shared" si="13"/>
        <v>0</v>
      </c>
      <c r="F46" s="336"/>
      <c r="G46" s="336"/>
      <c r="H46" s="336"/>
      <c r="I46" s="336"/>
      <c r="J46" s="336"/>
      <c r="K46" s="336"/>
      <c r="L46" s="336"/>
      <c r="M46" s="336"/>
      <c r="N46" s="336"/>
      <c r="O46" s="336"/>
      <c r="P46" s="336"/>
      <c r="Q46" s="336"/>
      <c r="R46" s="334"/>
    </row>
    <row r="47" spans="1:18" s="308" customFormat="1" ht="31.5" customHeight="1">
      <c r="A47" s="344">
        <v>9</v>
      </c>
      <c r="B47" s="481" t="s">
        <v>414</v>
      </c>
      <c r="C47" s="339" t="s">
        <v>162</v>
      </c>
      <c r="D47" s="342">
        <v>12</v>
      </c>
      <c r="E47" s="336">
        <f t="shared" si="13"/>
        <v>18</v>
      </c>
      <c r="F47" s="336">
        <v>1</v>
      </c>
      <c r="G47" s="336">
        <v>1</v>
      </c>
      <c r="H47" s="336">
        <v>1</v>
      </c>
      <c r="I47" s="336">
        <v>1</v>
      </c>
      <c r="J47" s="336">
        <v>1</v>
      </c>
      <c r="K47" s="336">
        <v>1</v>
      </c>
      <c r="L47" s="336">
        <v>1</v>
      </c>
      <c r="M47" s="336">
        <v>3</v>
      </c>
      <c r="N47" s="336">
        <v>1</v>
      </c>
      <c r="O47" s="336">
        <v>3</v>
      </c>
      <c r="P47" s="336">
        <v>3</v>
      </c>
      <c r="Q47" s="336">
        <v>1</v>
      </c>
      <c r="R47" s="335">
        <f>E47/D47*100</f>
        <v>150</v>
      </c>
    </row>
    <row r="48" spans="1:18" s="313" customFormat="1" ht="24.75" customHeight="1">
      <c r="A48" s="324" t="s">
        <v>197</v>
      </c>
      <c r="B48" s="480" t="s">
        <v>26</v>
      </c>
      <c r="C48" s="324"/>
      <c r="D48" s="345"/>
      <c r="E48" s="434"/>
      <c r="F48" s="338"/>
      <c r="G48" s="338"/>
      <c r="H48" s="338"/>
      <c r="I48" s="338"/>
      <c r="J48" s="338"/>
      <c r="K48" s="338"/>
      <c r="L48" s="338"/>
      <c r="M48" s="338"/>
      <c r="N48" s="338"/>
      <c r="O48" s="338"/>
      <c r="P48" s="338"/>
      <c r="Q48" s="338"/>
      <c r="R48" s="571"/>
    </row>
    <row r="49" spans="1:18" s="313" customFormat="1" ht="24.75" customHeight="1">
      <c r="A49" s="324" t="s">
        <v>415</v>
      </c>
      <c r="B49" s="480" t="s">
        <v>27</v>
      </c>
      <c r="C49" s="324" t="s">
        <v>192</v>
      </c>
      <c r="D49" s="338"/>
      <c r="E49" s="434"/>
      <c r="F49" s="338"/>
      <c r="G49" s="338"/>
      <c r="H49" s="338"/>
      <c r="I49" s="338"/>
      <c r="J49" s="338"/>
      <c r="K49" s="338"/>
      <c r="L49" s="338"/>
      <c r="M49" s="338"/>
      <c r="N49" s="338"/>
      <c r="O49" s="338"/>
      <c r="P49" s="338"/>
      <c r="Q49" s="338"/>
      <c r="R49" s="571"/>
    </row>
    <row r="50" spans="1:18" s="308" customFormat="1" ht="32.25" customHeight="1">
      <c r="A50" s="328">
        <v>1</v>
      </c>
      <c r="B50" s="476" t="s">
        <v>336</v>
      </c>
      <c r="C50" s="328" t="s">
        <v>572</v>
      </c>
      <c r="D50" s="337">
        <v>411</v>
      </c>
      <c r="E50" s="437">
        <v>410</v>
      </c>
      <c r="F50" s="329"/>
      <c r="G50" s="329"/>
      <c r="H50" s="329"/>
      <c r="I50" s="329"/>
      <c r="J50" s="329"/>
      <c r="K50" s="329"/>
      <c r="L50" s="329"/>
      <c r="M50" s="329"/>
      <c r="N50" s="329"/>
      <c r="O50" s="329"/>
      <c r="P50" s="329"/>
      <c r="Q50" s="329"/>
      <c r="R50" s="335">
        <f>E50/D50*100</f>
        <v>99.7566909975669</v>
      </c>
    </row>
    <row r="51" spans="1:19" s="308" customFormat="1" ht="24.75" customHeight="1">
      <c r="A51" s="328"/>
      <c r="B51" s="476" t="s">
        <v>22</v>
      </c>
      <c r="C51" s="328" t="s">
        <v>572</v>
      </c>
      <c r="D51" s="327">
        <v>49</v>
      </c>
      <c r="E51" s="437">
        <v>49</v>
      </c>
      <c r="F51" s="327"/>
      <c r="G51" s="327"/>
      <c r="H51" s="327"/>
      <c r="I51" s="327"/>
      <c r="J51" s="327"/>
      <c r="K51" s="327"/>
      <c r="L51" s="327"/>
      <c r="M51" s="327"/>
      <c r="N51" s="327"/>
      <c r="O51" s="327"/>
      <c r="P51" s="327"/>
      <c r="Q51" s="327"/>
      <c r="R51" s="335">
        <f>E51/D51*100</f>
        <v>100</v>
      </c>
      <c r="S51" s="311"/>
    </row>
    <row r="52" spans="1:18" s="308" customFormat="1" ht="24.75" customHeight="1">
      <c r="A52" s="328">
        <v>2</v>
      </c>
      <c r="B52" s="476" t="s">
        <v>28</v>
      </c>
      <c r="C52" s="328" t="s">
        <v>572</v>
      </c>
      <c r="D52" s="327"/>
      <c r="E52" s="437">
        <v>25</v>
      </c>
      <c r="F52" s="337"/>
      <c r="G52" s="652"/>
      <c r="H52" s="337"/>
      <c r="I52" s="337"/>
      <c r="J52" s="337"/>
      <c r="K52" s="337"/>
      <c r="L52" s="337"/>
      <c r="M52" s="337"/>
      <c r="N52" s="337"/>
      <c r="O52" s="337"/>
      <c r="P52" s="337"/>
      <c r="Q52" s="337"/>
      <c r="R52" s="332"/>
    </row>
    <row r="53" spans="1:18" s="310" customFormat="1" ht="24.75" customHeight="1">
      <c r="A53" s="328">
        <v>3</v>
      </c>
      <c r="B53" s="476" t="s">
        <v>365</v>
      </c>
      <c r="C53" s="328" t="s">
        <v>572</v>
      </c>
      <c r="D53" s="327">
        <v>136</v>
      </c>
      <c r="E53" s="337">
        <v>180</v>
      </c>
      <c r="F53" s="327"/>
      <c r="G53" s="327"/>
      <c r="H53" s="327"/>
      <c r="I53" s="327"/>
      <c r="J53" s="327"/>
      <c r="K53" s="327"/>
      <c r="L53" s="340"/>
      <c r="M53" s="340"/>
      <c r="N53" s="327"/>
      <c r="O53" s="340"/>
      <c r="P53" s="340"/>
      <c r="Q53" s="340"/>
      <c r="R53" s="332">
        <f>E53/D53*100</f>
        <v>132.35294117647058</v>
      </c>
    </row>
    <row r="54" spans="1:18" s="313" customFormat="1" ht="24.75" customHeight="1">
      <c r="A54" s="324" t="s">
        <v>418</v>
      </c>
      <c r="B54" s="480" t="s">
        <v>29</v>
      </c>
      <c r="C54" s="324"/>
      <c r="D54" s="338"/>
      <c r="E54" s="329"/>
      <c r="F54" s="647"/>
      <c r="G54" s="647"/>
      <c r="H54" s="647"/>
      <c r="I54" s="647"/>
      <c r="J54" s="647"/>
      <c r="K54" s="647"/>
      <c r="L54" s="647"/>
      <c r="M54" s="647"/>
      <c r="N54" s="647"/>
      <c r="O54" s="647"/>
      <c r="P54" s="647"/>
      <c r="Q54" s="647"/>
      <c r="R54" s="571"/>
    </row>
    <row r="55" spans="1:18" s="308" customFormat="1" ht="24.75" customHeight="1">
      <c r="A55" s="328">
        <v>1</v>
      </c>
      <c r="B55" s="476" t="s">
        <v>30</v>
      </c>
      <c r="C55" s="328" t="s">
        <v>31</v>
      </c>
      <c r="D55" s="329"/>
      <c r="E55" s="329">
        <f>SUM(F55:Q55)</f>
        <v>11677</v>
      </c>
      <c r="F55" s="329">
        <v>2120</v>
      </c>
      <c r="G55" s="329">
        <v>1015</v>
      </c>
      <c r="H55" s="329">
        <v>1432</v>
      </c>
      <c r="I55" s="329">
        <v>796</v>
      </c>
      <c r="J55" s="329">
        <v>1057</v>
      </c>
      <c r="K55" s="329">
        <v>1269</v>
      </c>
      <c r="L55" s="329">
        <v>635</v>
      </c>
      <c r="M55" s="329">
        <v>756</v>
      </c>
      <c r="N55" s="329">
        <v>481</v>
      </c>
      <c r="O55" s="329">
        <v>709</v>
      </c>
      <c r="P55" s="329">
        <v>883</v>
      </c>
      <c r="Q55" s="329">
        <v>524</v>
      </c>
      <c r="R55" s="332"/>
    </row>
    <row r="56" spans="1:18" s="317" customFormat="1" ht="15.75" customHeight="1">
      <c r="A56" s="296">
        <v>2</v>
      </c>
      <c r="B56" s="481" t="s">
        <v>32</v>
      </c>
      <c r="C56" s="296" t="s">
        <v>31</v>
      </c>
      <c r="D56" s="342"/>
      <c r="E56" s="329">
        <f>SUM(F56:Q56)</f>
        <v>4842</v>
      </c>
      <c r="F56" s="653">
        <v>225</v>
      </c>
      <c r="G56" s="653">
        <v>118</v>
      </c>
      <c r="H56" s="653">
        <v>845</v>
      </c>
      <c r="I56" s="653">
        <v>298</v>
      </c>
      <c r="J56" s="653">
        <v>420</v>
      </c>
      <c r="K56" s="653">
        <v>710</v>
      </c>
      <c r="L56" s="653">
        <v>325</v>
      </c>
      <c r="M56" s="653">
        <v>446</v>
      </c>
      <c r="N56" s="653">
        <v>301</v>
      </c>
      <c r="O56" s="653">
        <v>325</v>
      </c>
      <c r="P56" s="653">
        <v>544</v>
      </c>
      <c r="Q56" s="653">
        <v>285</v>
      </c>
      <c r="R56" s="332"/>
    </row>
    <row r="57" spans="1:18" s="320" customFormat="1" ht="34.5" customHeight="1">
      <c r="A57" s="344">
        <v>3</v>
      </c>
      <c r="B57" s="485" t="s">
        <v>33</v>
      </c>
      <c r="C57" s="344" t="s">
        <v>31</v>
      </c>
      <c r="D57" s="654"/>
      <c r="E57" s="654">
        <f>SUM(F57:Q57)</f>
        <v>4345</v>
      </c>
      <c r="F57" s="654">
        <f>F56-F58-F59</f>
        <v>163</v>
      </c>
      <c r="G57" s="654">
        <f aca="true" t="shared" si="14" ref="G57:Q57">G56-G58-G59</f>
        <v>79</v>
      </c>
      <c r="H57" s="654">
        <f t="shared" si="14"/>
        <v>801</v>
      </c>
      <c r="I57" s="654">
        <f t="shared" si="14"/>
        <v>262</v>
      </c>
      <c r="J57" s="654">
        <f t="shared" si="14"/>
        <v>361</v>
      </c>
      <c r="K57" s="654">
        <f t="shared" si="14"/>
        <v>673</v>
      </c>
      <c r="L57" s="654">
        <f t="shared" si="14"/>
        <v>289</v>
      </c>
      <c r="M57" s="654">
        <f t="shared" si="14"/>
        <v>399</v>
      </c>
      <c r="N57" s="654">
        <f t="shared" si="14"/>
        <v>274</v>
      </c>
      <c r="O57" s="654">
        <f t="shared" si="14"/>
        <v>282</v>
      </c>
      <c r="P57" s="654">
        <f t="shared" si="14"/>
        <v>501</v>
      </c>
      <c r="Q57" s="654">
        <f t="shared" si="14"/>
        <v>261</v>
      </c>
      <c r="R57" s="334"/>
    </row>
    <row r="58" spans="1:19" s="317" customFormat="1" ht="24.75" customHeight="1">
      <c r="A58" s="296">
        <v>4</v>
      </c>
      <c r="B58" s="481" t="s">
        <v>34</v>
      </c>
      <c r="C58" s="296" t="s">
        <v>31</v>
      </c>
      <c r="D58" s="435"/>
      <c r="E58" s="436">
        <f>SUM(F58:Q58)</f>
        <v>436</v>
      </c>
      <c r="F58" s="436">
        <v>57</v>
      </c>
      <c r="G58" s="436">
        <v>33</v>
      </c>
      <c r="H58" s="436">
        <v>40</v>
      </c>
      <c r="I58" s="436">
        <v>33</v>
      </c>
      <c r="J58" s="436">
        <v>54</v>
      </c>
      <c r="K58" s="436">
        <v>30</v>
      </c>
      <c r="L58" s="436">
        <v>30</v>
      </c>
      <c r="M58" s="436">
        <v>41</v>
      </c>
      <c r="N58" s="436">
        <v>23</v>
      </c>
      <c r="O58" s="436">
        <v>38</v>
      </c>
      <c r="P58" s="436">
        <v>37</v>
      </c>
      <c r="Q58" s="436">
        <v>20</v>
      </c>
      <c r="R58" s="332"/>
      <c r="S58" s="316"/>
    </row>
    <row r="59" spans="1:19" s="317" customFormat="1" ht="24.75" customHeight="1">
      <c r="A59" s="344">
        <v>5</v>
      </c>
      <c r="B59" s="481" t="s">
        <v>416</v>
      </c>
      <c r="C59" s="296" t="s">
        <v>31</v>
      </c>
      <c r="D59" s="435"/>
      <c r="E59" s="436">
        <f>SUM(F59:Q59)</f>
        <v>61</v>
      </c>
      <c r="F59" s="436">
        <v>5</v>
      </c>
      <c r="G59" s="436">
        <v>6</v>
      </c>
      <c r="H59" s="436">
        <v>4</v>
      </c>
      <c r="I59" s="436">
        <v>3</v>
      </c>
      <c r="J59" s="436">
        <v>5</v>
      </c>
      <c r="K59" s="436">
        <v>7</v>
      </c>
      <c r="L59" s="436">
        <v>6</v>
      </c>
      <c r="M59" s="436">
        <v>6</v>
      </c>
      <c r="N59" s="436">
        <v>4</v>
      </c>
      <c r="O59" s="436">
        <v>5</v>
      </c>
      <c r="P59" s="436">
        <v>6</v>
      </c>
      <c r="Q59" s="436">
        <v>4</v>
      </c>
      <c r="R59" s="332"/>
      <c r="S59" s="316"/>
    </row>
    <row r="60" spans="1:18" s="308" customFormat="1" ht="24.75" customHeight="1">
      <c r="A60" s="296">
        <v>6</v>
      </c>
      <c r="B60" s="476" t="s">
        <v>35</v>
      </c>
      <c r="C60" s="332" t="s">
        <v>12</v>
      </c>
      <c r="D60" s="641"/>
      <c r="E60" s="642">
        <f aca="true" t="shared" si="15" ref="E60:Q60">E57/E55*100</f>
        <v>37.2098998030316</v>
      </c>
      <c r="F60" s="642">
        <f t="shared" si="15"/>
        <v>7.688679245283018</v>
      </c>
      <c r="G60" s="642">
        <f t="shared" si="15"/>
        <v>7.783251231527094</v>
      </c>
      <c r="H60" s="642">
        <f t="shared" si="15"/>
        <v>55.935754189944134</v>
      </c>
      <c r="I60" s="642">
        <f t="shared" si="15"/>
        <v>32.914572864321606</v>
      </c>
      <c r="J60" s="642">
        <f t="shared" si="15"/>
        <v>34.15326395458846</v>
      </c>
      <c r="K60" s="327">
        <f t="shared" si="15"/>
        <v>53.033884948778564</v>
      </c>
      <c r="L60" s="642">
        <f t="shared" si="15"/>
        <v>45.511811023622045</v>
      </c>
      <c r="M60" s="642">
        <f t="shared" si="15"/>
        <v>52.77777777777778</v>
      </c>
      <c r="N60" s="642">
        <f t="shared" si="15"/>
        <v>56.96465696465697</v>
      </c>
      <c r="O60" s="642">
        <f t="shared" si="15"/>
        <v>39.77433004231312</v>
      </c>
      <c r="P60" s="642">
        <f t="shared" si="15"/>
        <v>56.73839184597962</v>
      </c>
      <c r="Q60" s="642">
        <f t="shared" si="15"/>
        <v>49.80916030534351</v>
      </c>
      <c r="R60" s="334"/>
    </row>
    <row r="61" spans="1:18" s="308" customFormat="1" ht="24.75" customHeight="1">
      <c r="A61" s="344">
        <v>7</v>
      </c>
      <c r="B61" s="476" t="s">
        <v>248</v>
      </c>
      <c r="C61" s="332" t="s">
        <v>186</v>
      </c>
      <c r="D61" s="327"/>
      <c r="E61" s="327">
        <f>SUM(F61:Q61)</f>
        <v>784</v>
      </c>
      <c r="F61" s="327">
        <v>105</v>
      </c>
      <c r="G61" s="327">
        <v>80</v>
      </c>
      <c r="H61" s="327">
        <v>50</v>
      </c>
      <c r="I61" s="327">
        <v>45</v>
      </c>
      <c r="J61" s="327">
        <v>59</v>
      </c>
      <c r="K61" s="327">
        <v>67</v>
      </c>
      <c r="L61" s="327">
        <v>65</v>
      </c>
      <c r="M61" s="327">
        <v>68</v>
      </c>
      <c r="N61" s="327">
        <v>51</v>
      </c>
      <c r="O61" s="327">
        <v>63</v>
      </c>
      <c r="P61" s="327">
        <v>71</v>
      </c>
      <c r="Q61" s="327">
        <v>60</v>
      </c>
      <c r="R61" s="332"/>
    </row>
    <row r="62" spans="1:18" s="308" customFormat="1" ht="24.75" customHeight="1">
      <c r="A62" s="296">
        <v>8</v>
      </c>
      <c r="B62" s="476" t="s">
        <v>338</v>
      </c>
      <c r="C62" s="332" t="s">
        <v>12</v>
      </c>
      <c r="D62" s="642"/>
      <c r="E62" s="642">
        <f aca="true" t="shared" si="16" ref="E62:Q62">E61/E55*100</f>
        <v>6.714053267106277</v>
      </c>
      <c r="F62" s="327">
        <f t="shared" si="16"/>
        <v>4.952830188679245</v>
      </c>
      <c r="G62" s="642">
        <f t="shared" si="16"/>
        <v>7.8817733990147785</v>
      </c>
      <c r="H62" s="327">
        <f t="shared" si="16"/>
        <v>3.4916201117318435</v>
      </c>
      <c r="I62" s="642">
        <f t="shared" si="16"/>
        <v>5.653266331658291</v>
      </c>
      <c r="J62" s="642">
        <f t="shared" si="16"/>
        <v>5.581835383159887</v>
      </c>
      <c r="K62" s="642">
        <f t="shared" si="16"/>
        <v>5.279747832939322</v>
      </c>
      <c r="L62" s="642">
        <f t="shared" si="16"/>
        <v>10.236220472440944</v>
      </c>
      <c r="M62" s="642">
        <f t="shared" si="16"/>
        <v>8.994708994708994</v>
      </c>
      <c r="N62" s="642">
        <f t="shared" si="16"/>
        <v>10.602910602910603</v>
      </c>
      <c r="O62" s="642">
        <f t="shared" si="16"/>
        <v>8.885754583921015</v>
      </c>
      <c r="P62" s="642">
        <f t="shared" si="16"/>
        <v>8.040770101925254</v>
      </c>
      <c r="Q62" s="642">
        <f t="shared" si="16"/>
        <v>11.450381679389313</v>
      </c>
      <c r="R62" s="334"/>
    </row>
    <row r="63" spans="1:18" s="308" customFormat="1" ht="24.75" customHeight="1">
      <c r="A63" s="296">
        <v>9</v>
      </c>
      <c r="B63" s="481" t="s">
        <v>417</v>
      </c>
      <c r="C63" s="346" t="s">
        <v>12</v>
      </c>
      <c r="D63" s="642"/>
      <c r="E63" s="435">
        <v>37</v>
      </c>
      <c r="F63" s="642">
        <v>7.5</v>
      </c>
      <c r="G63" s="642">
        <f>G60</f>
        <v>7.783251231527094</v>
      </c>
      <c r="H63" s="642">
        <f aca="true" t="shared" si="17" ref="H63:Q63">H60</f>
        <v>55.935754189944134</v>
      </c>
      <c r="I63" s="642">
        <f t="shared" si="17"/>
        <v>32.914572864321606</v>
      </c>
      <c r="J63" s="642">
        <f t="shared" si="17"/>
        <v>34.15326395458846</v>
      </c>
      <c r="K63" s="642">
        <f t="shared" si="17"/>
        <v>53.033884948778564</v>
      </c>
      <c r="L63" s="642">
        <f t="shared" si="17"/>
        <v>45.511811023622045</v>
      </c>
      <c r="M63" s="642">
        <f t="shared" si="17"/>
        <v>52.77777777777778</v>
      </c>
      <c r="N63" s="642">
        <f t="shared" si="17"/>
        <v>56.96465696465697</v>
      </c>
      <c r="O63" s="642">
        <f t="shared" si="17"/>
        <v>39.77433004231312</v>
      </c>
      <c r="P63" s="642">
        <f t="shared" si="17"/>
        <v>56.73839184597962</v>
      </c>
      <c r="Q63" s="642">
        <f t="shared" si="17"/>
        <v>49.80916030534351</v>
      </c>
      <c r="R63" s="651"/>
    </row>
    <row r="64" spans="1:18" s="317" customFormat="1" ht="19.5" customHeight="1">
      <c r="A64" s="347" t="s">
        <v>419</v>
      </c>
      <c r="B64" s="486" t="s">
        <v>420</v>
      </c>
      <c r="C64" s="346"/>
      <c r="D64" s="348"/>
      <c r="E64" s="331"/>
      <c r="F64" s="331"/>
      <c r="G64" s="331"/>
      <c r="H64" s="331"/>
      <c r="I64" s="331"/>
      <c r="J64" s="331"/>
      <c r="K64" s="331"/>
      <c r="L64" s="331"/>
      <c r="M64" s="331"/>
      <c r="N64" s="331"/>
      <c r="O64" s="349"/>
      <c r="P64" s="437"/>
      <c r="Q64" s="437"/>
      <c r="R64" s="572"/>
    </row>
    <row r="65" spans="1:18" s="321" customFormat="1" ht="32.25" customHeight="1">
      <c r="A65" s="347">
        <v>1</v>
      </c>
      <c r="B65" s="487" t="s">
        <v>421</v>
      </c>
      <c r="C65" s="350" t="s">
        <v>162</v>
      </c>
      <c r="D65" s="655"/>
      <c r="E65" s="345">
        <f>SUM(F65:Q65)</f>
        <v>3004</v>
      </c>
      <c r="F65" s="655">
        <v>1170</v>
      </c>
      <c r="G65" s="655">
        <v>110</v>
      </c>
      <c r="H65" s="655">
        <v>230</v>
      </c>
      <c r="I65" s="655">
        <v>175</v>
      </c>
      <c r="J65" s="655">
        <v>204</v>
      </c>
      <c r="K65" s="655">
        <v>225</v>
      </c>
      <c r="L65" s="655">
        <v>153</v>
      </c>
      <c r="M65" s="655">
        <v>140</v>
      </c>
      <c r="N65" s="655">
        <v>113</v>
      </c>
      <c r="O65" s="655">
        <v>198</v>
      </c>
      <c r="P65" s="655">
        <v>153</v>
      </c>
      <c r="Q65" s="655">
        <v>133</v>
      </c>
      <c r="R65" s="656"/>
    </row>
    <row r="66" spans="1:18" s="321" customFormat="1" ht="19.5" customHeight="1">
      <c r="A66" s="347"/>
      <c r="B66" s="486" t="s">
        <v>422</v>
      </c>
      <c r="C66" s="350" t="s">
        <v>162</v>
      </c>
      <c r="D66" s="655">
        <v>2259</v>
      </c>
      <c r="E66" s="655">
        <f>SUM(F66:Q66)</f>
        <v>2935</v>
      </c>
      <c r="F66" s="655">
        <v>1150</v>
      </c>
      <c r="G66" s="655">
        <v>105</v>
      </c>
      <c r="H66" s="655">
        <v>225</v>
      </c>
      <c r="I66" s="655">
        <v>170</v>
      </c>
      <c r="J66" s="655">
        <v>195</v>
      </c>
      <c r="K66" s="655">
        <v>220</v>
      </c>
      <c r="L66" s="655">
        <v>150</v>
      </c>
      <c r="M66" s="655">
        <v>135</v>
      </c>
      <c r="N66" s="655">
        <v>110</v>
      </c>
      <c r="O66" s="655">
        <v>195</v>
      </c>
      <c r="P66" s="655">
        <v>150</v>
      </c>
      <c r="Q66" s="655">
        <v>130</v>
      </c>
      <c r="R66" s="656">
        <f>E66/D66*100</f>
        <v>129.92474546259407</v>
      </c>
    </row>
    <row r="67" spans="1:18" s="317" customFormat="1" ht="19.5" customHeight="1">
      <c r="A67" s="351"/>
      <c r="B67" s="488" t="s">
        <v>423</v>
      </c>
      <c r="C67" s="346" t="s">
        <v>12</v>
      </c>
      <c r="D67" s="348"/>
      <c r="E67" s="657">
        <v>98</v>
      </c>
      <c r="F67" s="438"/>
      <c r="G67" s="438"/>
      <c r="H67" s="438"/>
      <c r="I67" s="438"/>
      <c r="J67" s="438"/>
      <c r="K67" s="438"/>
      <c r="L67" s="438"/>
      <c r="M67" s="438"/>
      <c r="N67" s="438"/>
      <c r="O67" s="349"/>
      <c r="P67" s="437"/>
      <c r="Q67" s="437"/>
      <c r="R67" s="572"/>
    </row>
    <row r="68" spans="1:18" s="317" customFormat="1" ht="33.75" customHeight="1" hidden="1">
      <c r="A68" s="351"/>
      <c r="B68" s="488" t="s">
        <v>424</v>
      </c>
      <c r="C68" s="346" t="s">
        <v>12</v>
      </c>
      <c r="D68" s="348"/>
      <c r="E68" s="438"/>
      <c r="F68" s="438"/>
      <c r="G68" s="438"/>
      <c r="H68" s="438"/>
      <c r="I68" s="438"/>
      <c r="J68" s="438"/>
      <c r="K68" s="438"/>
      <c r="L68" s="438"/>
      <c r="M68" s="438"/>
      <c r="N68" s="438"/>
      <c r="O68" s="349"/>
      <c r="P68" s="437"/>
      <c r="Q68" s="437"/>
      <c r="R68" s="572"/>
    </row>
    <row r="69" spans="1:18" s="321" customFormat="1" ht="35.25" customHeight="1">
      <c r="A69" s="347">
        <v>2</v>
      </c>
      <c r="B69" s="486" t="s">
        <v>425</v>
      </c>
      <c r="C69" s="350" t="s">
        <v>162</v>
      </c>
      <c r="D69" s="655"/>
      <c r="E69" s="345">
        <f>SUM(F69:Q69)</f>
        <v>2005</v>
      </c>
      <c r="F69" s="655">
        <v>854</v>
      </c>
      <c r="G69" s="655">
        <v>105</v>
      </c>
      <c r="H69" s="655">
        <v>160</v>
      </c>
      <c r="I69" s="655">
        <v>110</v>
      </c>
      <c r="J69" s="655">
        <v>140</v>
      </c>
      <c r="K69" s="655">
        <v>162</v>
      </c>
      <c r="L69" s="655">
        <v>97</v>
      </c>
      <c r="M69" s="655">
        <v>91</v>
      </c>
      <c r="N69" s="655">
        <v>71</v>
      </c>
      <c r="O69" s="655">
        <v>65</v>
      </c>
      <c r="P69" s="655">
        <v>83</v>
      </c>
      <c r="Q69" s="655">
        <v>67</v>
      </c>
      <c r="R69" s="656"/>
    </row>
    <row r="70" spans="1:18" s="321" customFormat="1" ht="19.5" customHeight="1">
      <c r="A70" s="347"/>
      <c r="B70" s="486" t="s">
        <v>426</v>
      </c>
      <c r="C70" s="350" t="s">
        <v>162</v>
      </c>
      <c r="D70" s="655">
        <v>1723</v>
      </c>
      <c r="E70" s="655">
        <f>SUM(F70:Q70)</f>
        <v>1934</v>
      </c>
      <c r="F70" s="658">
        <f>719+130</f>
        <v>849</v>
      </c>
      <c r="G70" s="658">
        <f>222-130</f>
        <v>92</v>
      </c>
      <c r="H70" s="658">
        <v>154</v>
      </c>
      <c r="I70" s="658">
        <v>100</v>
      </c>
      <c r="J70" s="658">
        <v>134</v>
      </c>
      <c r="K70" s="658">
        <v>156</v>
      </c>
      <c r="L70" s="658">
        <v>94</v>
      </c>
      <c r="M70" s="658">
        <v>85</v>
      </c>
      <c r="N70" s="658">
        <v>68</v>
      </c>
      <c r="O70" s="658">
        <v>60</v>
      </c>
      <c r="P70" s="658">
        <v>78</v>
      </c>
      <c r="Q70" s="658">
        <v>64</v>
      </c>
      <c r="R70" s="656">
        <f>E70/D70*100</f>
        <v>112.24608241439348</v>
      </c>
    </row>
    <row r="71" spans="1:18" s="317" customFormat="1" ht="19.5" customHeight="1">
      <c r="A71" s="351"/>
      <c r="B71" s="489" t="s">
        <v>427</v>
      </c>
      <c r="C71" s="346" t="s">
        <v>12</v>
      </c>
      <c r="D71" s="348"/>
      <c r="E71" s="438"/>
      <c r="F71" s="438"/>
      <c r="G71" s="438"/>
      <c r="H71" s="438"/>
      <c r="I71" s="438"/>
      <c r="J71" s="438"/>
      <c r="K71" s="438"/>
      <c r="L71" s="438"/>
      <c r="M71" s="438"/>
      <c r="N71" s="438"/>
      <c r="O71" s="349"/>
      <c r="P71" s="437"/>
      <c r="Q71" s="437"/>
      <c r="R71" s="572"/>
    </row>
    <row r="72" spans="1:18" s="317" customFormat="1" ht="35.25" customHeight="1" hidden="1">
      <c r="A72" s="351"/>
      <c r="B72" s="489" t="s">
        <v>428</v>
      </c>
      <c r="C72" s="346" t="s">
        <v>12</v>
      </c>
      <c r="D72" s="348"/>
      <c r="E72" s="331"/>
      <c r="F72" s="331"/>
      <c r="G72" s="331"/>
      <c r="H72" s="331"/>
      <c r="I72" s="331"/>
      <c r="J72" s="331"/>
      <c r="K72" s="331"/>
      <c r="L72" s="331"/>
      <c r="M72" s="331"/>
      <c r="N72" s="331"/>
      <c r="O72" s="349"/>
      <c r="P72" s="437"/>
      <c r="Q72" s="437"/>
      <c r="R72" s="572"/>
    </row>
    <row r="73" spans="1:18" s="321" customFormat="1" ht="38.25" customHeight="1">
      <c r="A73" s="347">
        <v>3</v>
      </c>
      <c r="B73" s="486" t="s">
        <v>429</v>
      </c>
      <c r="C73" s="350" t="s">
        <v>162</v>
      </c>
      <c r="D73" s="655"/>
      <c r="E73" s="655">
        <f>SUM(F73:Q73)</f>
        <v>29592</v>
      </c>
      <c r="F73" s="655">
        <v>4350</v>
      </c>
      <c r="G73" s="655">
        <v>2345</v>
      </c>
      <c r="H73" s="655">
        <v>3695</v>
      </c>
      <c r="I73" s="655">
        <v>2115</v>
      </c>
      <c r="J73" s="655">
        <v>3005</v>
      </c>
      <c r="K73" s="655">
        <v>3547</v>
      </c>
      <c r="L73" s="655">
        <v>1984</v>
      </c>
      <c r="M73" s="655">
        <v>1955</v>
      </c>
      <c r="N73" s="655">
        <v>1375</v>
      </c>
      <c r="O73" s="655">
        <v>2047</v>
      </c>
      <c r="P73" s="655">
        <v>1673</v>
      </c>
      <c r="Q73" s="655">
        <v>1501</v>
      </c>
      <c r="R73" s="656"/>
    </row>
    <row r="74" spans="1:18" s="321" customFormat="1" ht="23.25" customHeight="1">
      <c r="A74" s="347"/>
      <c r="B74" s="486" t="s">
        <v>430</v>
      </c>
      <c r="C74" s="350" t="s">
        <v>162</v>
      </c>
      <c r="D74" s="655">
        <v>469</v>
      </c>
      <c r="E74" s="655">
        <f>SUM(F74:Q74)</f>
        <v>393</v>
      </c>
      <c r="F74" s="655">
        <v>130</v>
      </c>
      <c r="G74" s="655">
        <v>48</v>
      </c>
      <c r="H74" s="655">
        <v>28</v>
      </c>
      <c r="I74" s="655">
        <v>28</v>
      </c>
      <c r="J74" s="655">
        <v>28</v>
      </c>
      <c r="K74" s="655">
        <v>33</v>
      </c>
      <c r="L74" s="655">
        <v>11</v>
      </c>
      <c r="M74" s="655">
        <v>7</v>
      </c>
      <c r="N74" s="655">
        <v>7</v>
      </c>
      <c r="O74" s="655">
        <v>36</v>
      </c>
      <c r="P74" s="655">
        <v>23</v>
      </c>
      <c r="Q74" s="655">
        <v>14</v>
      </c>
      <c r="R74" s="738">
        <f>E74/D74*100</f>
        <v>83.7953091684435</v>
      </c>
    </row>
    <row r="75" spans="1:18" s="321" customFormat="1" ht="19.5" customHeight="1">
      <c r="A75" s="347"/>
      <c r="B75" s="489" t="s">
        <v>431</v>
      </c>
      <c r="C75" s="350"/>
      <c r="D75" s="659"/>
      <c r="E75" s="660">
        <v>1.22</v>
      </c>
      <c r="F75" s="660"/>
      <c r="G75" s="660"/>
      <c r="H75" s="660"/>
      <c r="I75" s="660"/>
      <c r="J75" s="660"/>
      <c r="K75" s="660"/>
      <c r="L75" s="660"/>
      <c r="M75" s="660"/>
      <c r="N75" s="660"/>
      <c r="O75" s="349"/>
      <c r="P75" s="661"/>
      <c r="Q75" s="661"/>
      <c r="R75" s="573"/>
    </row>
    <row r="76" spans="1:18" s="317" customFormat="1" ht="38.25" customHeight="1" hidden="1">
      <c r="A76" s="351"/>
      <c r="B76" s="489" t="s">
        <v>432</v>
      </c>
      <c r="C76" s="352" t="s">
        <v>12</v>
      </c>
      <c r="D76" s="348"/>
      <c r="E76" s="438"/>
      <c r="F76" s="438"/>
      <c r="G76" s="438"/>
      <c r="H76" s="438"/>
      <c r="I76" s="438"/>
      <c r="J76" s="438"/>
      <c r="K76" s="438"/>
      <c r="L76" s="438"/>
      <c r="M76" s="438"/>
      <c r="N76" s="438"/>
      <c r="O76" s="342"/>
      <c r="P76" s="437"/>
      <c r="Q76" s="437"/>
      <c r="R76" s="572"/>
    </row>
    <row r="77" spans="1:19" s="314" customFormat="1" ht="24.75" customHeight="1">
      <c r="A77" s="324" t="s">
        <v>198</v>
      </c>
      <c r="B77" s="480" t="s">
        <v>36</v>
      </c>
      <c r="C77" s="324" t="s">
        <v>573</v>
      </c>
      <c r="D77" s="345">
        <v>133</v>
      </c>
      <c r="E77" s="345">
        <f>E78+E79+E80</f>
        <v>500</v>
      </c>
      <c r="F77" s="345">
        <f>F80</f>
        <v>35</v>
      </c>
      <c r="G77" s="345">
        <f aca="true" t="shared" si="18" ref="G77:Q77">G80</f>
        <v>35</v>
      </c>
      <c r="H77" s="345">
        <f t="shared" si="18"/>
        <v>35</v>
      </c>
      <c r="I77" s="345">
        <f t="shared" si="18"/>
        <v>35</v>
      </c>
      <c r="J77" s="345">
        <f t="shared" si="18"/>
        <v>70</v>
      </c>
      <c r="K77" s="345">
        <f t="shared" si="18"/>
        <v>70</v>
      </c>
      <c r="L77" s="345">
        <f t="shared" si="18"/>
        <v>30</v>
      </c>
      <c r="M77" s="345">
        <f t="shared" si="18"/>
        <v>30</v>
      </c>
      <c r="N77" s="345">
        <f t="shared" si="18"/>
        <v>30</v>
      </c>
      <c r="O77" s="345">
        <f t="shared" si="18"/>
        <v>30</v>
      </c>
      <c r="P77" s="345">
        <f t="shared" si="18"/>
        <v>70</v>
      </c>
      <c r="Q77" s="345">
        <f t="shared" si="18"/>
        <v>30</v>
      </c>
      <c r="R77" s="656">
        <f>E77/D77*100</f>
        <v>375.9398496240602</v>
      </c>
      <c r="S77" s="322"/>
    </row>
    <row r="78" spans="1:23" s="310" customFormat="1" ht="24.75" customHeight="1" hidden="1">
      <c r="A78" s="328">
        <v>1</v>
      </c>
      <c r="B78" s="476" t="s">
        <v>39</v>
      </c>
      <c r="C78" s="328" t="s">
        <v>37</v>
      </c>
      <c r="D78" s="327"/>
      <c r="E78" s="662"/>
      <c r="F78" s="348"/>
      <c r="G78" s="327"/>
      <c r="H78" s="327"/>
      <c r="I78" s="327"/>
      <c r="J78" s="327"/>
      <c r="K78" s="327"/>
      <c r="L78" s="327"/>
      <c r="M78" s="327"/>
      <c r="N78" s="327"/>
      <c r="O78" s="327"/>
      <c r="P78" s="327"/>
      <c r="Q78" s="327"/>
      <c r="R78" s="334"/>
      <c r="S78" s="314"/>
      <c r="T78" s="314"/>
      <c r="U78" s="314"/>
      <c r="V78" s="314"/>
      <c r="W78" s="314"/>
    </row>
    <row r="79" spans="1:18" s="310" customFormat="1" ht="24.75" customHeight="1" hidden="1">
      <c r="A79" s="328">
        <v>2</v>
      </c>
      <c r="B79" s="476" t="s">
        <v>38</v>
      </c>
      <c r="C79" s="328" t="s">
        <v>37</v>
      </c>
      <c r="D79" s="327"/>
      <c r="E79" s="662"/>
      <c r="F79" s="327"/>
      <c r="G79" s="327"/>
      <c r="H79" s="327"/>
      <c r="I79" s="327"/>
      <c r="J79" s="327"/>
      <c r="K79" s="327"/>
      <c r="L79" s="327"/>
      <c r="M79" s="327"/>
      <c r="N79" s="327"/>
      <c r="O79" s="327"/>
      <c r="P79" s="327"/>
      <c r="Q79" s="327"/>
      <c r="R79" s="334"/>
    </row>
    <row r="80" spans="1:23" s="310" customFormat="1" ht="36" customHeight="1">
      <c r="A80" s="333"/>
      <c r="B80" s="476" t="s">
        <v>287</v>
      </c>
      <c r="C80" s="333" t="s">
        <v>573</v>
      </c>
      <c r="D80" s="336">
        <v>133</v>
      </c>
      <c r="E80" s="662">
        <f>SUM(F80:Q80)</f>
        <v>500</v>
      </c>
      <c r="F80" s="663">
        <v>35</v>
      </c>
      <c r="G80" s="663">
        <v>35</v>
      </c>
      <c r="H80" s="663">
        <v>35</v>
      </c>
      <c r="I80" s="663">
        <v>35</v>
      </c>
      <c r="J80" s="663">
        <v>70</v>
      </c>
      <c r="K80" s="663">
        <v>70</v>
      </c>
      <c r="L80" s="663">
        <v>30</v>
      </c>
      <c r="M80" s="663">
        <v>30</v>
      </c>
      <c r="N80" s="663">
        <v>30</v>
      </c>
      <c r="O80" s="663">
        <v>30</v>
      </c>
      <c r="P80" s="663">
        <v>70</v>
      </c>
      <c r="Q80" s="663">
        <v>30</v>
      </c>
      <c r="R80" s="334">
        <f>E80/D80*100</f>
        <v>375.9398496240602</v>
      </c>
      <c r="S80" s="314"/>
      <c r="T80" s="314"/>
      <c r="U80" s="314"/>
      <c r="V80" s="314"/>
      <c r="W80" s="314"/>
    </row>
    <row r="81" spans="1:23" s="307" customFormat="1" ht="35.25" customHeight="1">
      <c r="A81" s="333"/>
      <c r="B81" s="482" t="s">
        <v>575</v>
      </c>
      <c r="C81" s="333" t="s">
        <v>574</v>
      </c>
      <c r="D81" s="336">
        <v>133</v>
      </c>
      <c r="E81" s="336">
        <f>SUM(F81:Q81)</f>
        <v>500</v>
      </c>
      <c r="F81" s="336">
        <f>F80</f>
        <v>35</v>
      </c>
      <c r="G81" s="336">
        <f aca="true" t="shared" si="19" ref="G81:Q81">G80</f>
        <v>35</v>
      </c>
      <c r="H81" s="336">
        <f t="shared" si="19"/>
        <v>35</v>
      </c>
      <c r="I81" s="336">
        <f t="shared" si="19"/>
        <v>35</v>
      </c>
      <c r="J81" s="336">
        <f t="shared" si="19"/>
        <v>70</v>
      </c>
      <c r="K81" s="336">
        <f t="shared" si="19"/>
        <v>70</v>
      </c>
      <c r="L81" s="336">
        <f t="shared" si="19"/>
        <v>30</v>
      </c>
      <c r="M81" s="336">
        <f t="shared" si="19"/>
        <v>30</v>
      </c>
      <c r="N81" s="336">
        <f t="shared" si="19"/>
        <v>30</v>
      </c>
      <c r="O81" s="336">
        <f t="shared" si="19"/>
        <v>30</v>
      </c>
      <c r="P81" s="336">
        <f t="shared" si="19"/>
        <v>70</v>
      </c>
      <c r="Q81" s="336">
        <f t="shared" si="19"/>
        <v>30</v>
      </c>
      <c r="R81" s="334">
        <f>E81/D81*100</f>
        <v>375.9398496240602</v>
      </c>
      <c r="S81" s="357"/>
      <c r="T81" s="358"/>
      <c r="U81" s="358"/>
      <c r="V81" s="358"/>
      <c r="W81" s="358"/>
    </row>
    <row r="82" spans="1:18" s="304" customFormat="1" ht="24.75" customHeight="1" hidden="1">
      <c r="A82" s="301"/>
      <c r="B82" s="490" t="s">
        <v>40</v>
      </c>
      <c r="C82" s="301" t="s">
        <v>37</v>
      </c>
      <c r="D82" s="302"/>
      <c r="E82" s="263">
        <f aca="true" t="shared" si="20" ref="E82:E87">SUM(F82:Q82)</f>
        <v>0</v>
      </c>
      <c r="F82" s="303"/>
      <c r="G82" s="303"/>
      <c r="H82" s="303"/>
      <c r="I82" s="303"/>
      <c r="J82" s="303"/>
      <c r="K82" s="303"/>
      <c r="L82" s="303"/>
      <c r="M82" s="303"/>
      <c r="N82" s="303"/>
      <c r="O82" s="303"/>
      <c r="P82" s="303"/>
      <c r="Q82" s="303"/>
      <c r="R82" s="218"/>
    </row>
    <row r="83" spans="1:18" s="105" customFormat="1" ht="24.75" customHeight="1" hidden="1">
      <c r="A83" s="110">
        <v>1</v>
      </c>
      <c r="B83" s="491" t="s">
        <v>200</v>
      </c>
      <c r="C83" s="107" t="s">
        <v>37</v>
      </c>
      <c r="D83" s="220"/>
      <c r="E83" s="112">
        <f t="shared" si="20"/>
        <v>0</v>
      </c>
      <c r="F83" s="104"/>
      <c r="G83" s="104"/>
      <c r="H83" s="104"/>
      <c r="I83" s="104"/>
      <c r="J83" s="104"/>
      <c r="K83" s="104"/>
      <c r="L83" s="104"/>
      <c r="M83" s="104"/>
      <c r="N83" s="104"/>
      <c r="O83" s="104"/>
      <c r="P83" s="104"/>
      <c r="Q83" s="104"/>
      <c r="R83" s="219"/>
    </row>
    <row r="84" spans="1:18" s="105" customFormat="1" ht="24.75" customHeight="1" hidden="1">
      <c r="A84" s="107"/>
      <c r="B84" s="492" t="s">
        <v>41</v>
      </c>
      <c r="C84" s="107" t="s">
        <v>37</v>
      </c>
      <c r="D84" s="220"/>
      <c r="E84" s="112">
        <f t="shared" si="20"/>
        <v>0</v>
      </c>
      <c r="F84" s="104"/>
      <c r="G84" s="104"/>
      <c r="H84" s="104"/>
      <c r="I84" s="104"/>
      <c r="J84" s="104"/>
      <c r="K84" s="104"/>
      <c r="L84" s="104"/>
      <c r="M84" s="104"/>
      <c r="N84" s="104"/>
      <c r="O84" s="104"/>
      <c r="P84" s="104"/>
      <c r="Q84" s="104"/>
      <c r="R84" s="219"/>
    </row>
    <row r="85" spans="1:18" s="105" customFormat="1" ht="24.75" customHeight="1" hidden="1">
      <c r="A85" s="107"/>
      <c r="B85" s="492" t="s">
        <v>201</v>
      </c>
      <c r="C85" s="107" t="s">
        <v>37</v>
      </c>
      <c r="D85" s="220"/>
      <c r="E85" s="112">
        <f t="shared" si="20"/>
        <v>0</v>
      </c>
      <c r="F85" s="104"/>
      <c r="G85" s="104"/>
      <c r="H85" s="104"/>
      <c r="I85" s="104"/>
      <c r="J85" s="104"/>
      <c r="K85" s="104"/>
      <c r="L85" s="104"/>
      <c r="M85" s="104"/>
      <c r="N85" s="104"/>
      <c r="O85" s="104"/>
      <c r="P85" s="104"/>
      <c r="Q85" s="104"/>
      <c r="R85" s="219"/>
    </row>
    <row r="86" spans="1:18" s="105" customFormat="1" ht="24.75" customHeight="1" hidden="1">
      <c r="A86" s="107"/>
      <c r="B86" s="492" t="s">
        <v>22</v>
      </c>
      <c r="C86" s="107" t="s">
        <v>37</v>
      </c>
      <c r="D86" s="220"/>
      <c r="E86" s="112">
        <f t="shared" si="20"/>
        <v>0</v>
      </c>
      <c r="F86" s="104"/>
      <c r="G86" s="104"/>
      <c r="H86" s="104"/>
      <c r="I86" s="104"/>
      <c r="J86" s="104"/>
      <c r="K86" s="104"/>
      <c r="L86" s="104"/>
      <c r="M86" s="104"/>
      <c r="N86" s="104"/>
      <c r="O86" s="104"/>
      <c r="P86" s="104"/>
      <c r="Q86" s="104"/>
      <c r="R86" s="219"/>
    </row>
    <row r="87" spans="1:18" s="105" customFormat="1" ht="24.75" customHeight="1" hidden="1">
      <c r="A87" s="107"/>
      <c r="B87" s="492" t="s">
        <v>42</v>
      </c>
      <c r="C87" s="107" t="s">
        <v>37</v>
      </c>
      <c r="D87" s="220"/>
      <c r="E87" s="112">
        <f t="shared" si="20"/>
        <v>0</v>
      </c>
      <c r="F87" s="104"/>
      <c r="G87" s="104"/>
      <c r="H87" s="104"/>
      <c r="I87" s="104"/>
      <c r="J87" s="104"/>
      <c r="K87" s="104"/>
      <c r="L87" s="104"/>
      <c r="M87" s="104"/>
      <c r="N87" s="104"/>
      <c r="O87" s="104"/>
      <c r="P87" s="104"/>
      <c r="Q87" s="104"/>
      <c r="R87" s="219"/>
    </row>
    <row r="88" spans="1:18" s="109" customFormat="1" ht="24.75" customHeight="1" hidden="1">
      <c r="A88" s="110" t="s">
        <v>193</v>
      </c>
      <c r="B88" s="491" t="s">
        <v>246</v>
      </c>
      <c r="C88" s="110" t="s">
        <v>37</v>
      </c>
      <c r="D88" s="221"/>
      <c r="E88" s="112">
        <f>E89+E92+E93</f>
        <v>0</v>
      </c>
      <c r="F88" s="108"/>
      <c r="G88" s="108"/>
      <c r="H88" s="108"/>
      <c r="I88" s="108"/>
      <c r="J88" s="108"/>
      <c r="K88" s="108"/>
      <c r="L88" s="108"/>
      <c r="M88" s="108"/>
      <c r="N88" s="108"/>
      <c r="O88" s="108"/>
      <c r="P88" s="108"/>
      <c r="Q88" s="108"/>
      <c r="R88" s="219"/>
    </row>
    <row r="89" spans="1:18" s="103" customFormat="1" ht="24.75" customHeight="1" hidden="1">
      <c r="A89" s="102"/>
      <c r="B89" s="493" t="s">
        <v>341</v>
      </c>
      <c r="C89" s="102" t="s">
        <v>37</v>
      </c>
      <c r="D89" s="99"/>
      <c r="E89" s="113">
        <v>0</v>
      </c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98"/>
      <c r="Q89" s="98"/>
      <c r="R89" s="117"/>
    </row>
    <row r="90" spans="1:18" s="103" customFormat="1" ht="24.75" customHeight="1" hidden="1">
      <c r="A90" s="102"/>
      <c r="B90" s="493" t="s">
        <v>285</v>
      </c>
      <c r="C90" s="102" t="s">
        <v>37</v>
      </c>
      <c r="D90" s="99"/>
      <c r="E90" s="113">
        <f>SUM(F90:Q90)</f>
        <v>0</v>
      </c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  <c r="Q90" s="98"/>
      <c r="R90" s="117"/>
    </row>
    <row r="91" spans="1:18" s="103" customFormat="1" ht="24.75" customHeight="1" hidden="1">
      <c r="A91" s="102"/>
      <c r="B91" s="494" t="s">
        <v>286</v>
      </c>
      <c r="C91" s="102" t="s">
        <v>37</v>
      </c>
      <c r="D91" s="99"/>
      <c r="E91" s="113">
        <v>0</v>
      </c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8"/>
      <c r="R91" s="117"/>
    </row>
    <row r="92" spans="1:18" s="103" customFormat="1" ht="24.75" customHeight="1" hidden="1">
      <c r="A92" s="102"/>
      <c r="B92" s="493" t="s">
        <v>340</v>
      </c>
      <c r="C92" s="102" t="s">
        <v>37</v>
      </c>
      <c r="D92" s="99"/>
      <c r="E92" s="113">
        <v>0</v>
      </c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98"/>
      <c r="R92" s="117"/>
    </row>
    <row r="93" spans="1:18" s="103" customFormat="1" ht="24.75" customHeight="1" hidden="1">
      <c r="A93" s="102"/>
      <c r="B93" s="493" t="s">
        <v>342</v>
      </c>
      <c r="C93" s="102" t="s">
        <v>37</v>
      </c>
      <c r="D93" s="99"/>
      <c r="E93" s="113">
        <f>SUM(F93:Q93)</f>
        <v>0</v>
      </c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98"/>
      <c r="R93" s="117"/>
    </row>
    <row r="94" spans="1:18" s="103" customFormat="1" ht="24.75" customHeight="1" hidden="1">
      <c r="A94" s="102"/>
      <c r="B94" s="493" t="s">
        <v>184</v>
      </c>
      <c r="C94" s="102"/>
      <c r="D94" s="99"/>
      <c r="E94" s="113">
        <f>SUM(F94:Q94)</f>
        <v>0</v>
      </c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  <c r="Q94" s="98"/>
      <c r="R94" s="117"/>
    </row>
    <row r="95" spans="1:18" s="103" customFormat="1" ht="24.75" customHeight="1" hidden="1">
      <c r="A95" s="102"/>
      <c r="B95" s="493" t="s">
        <v>247</v>
      </c>
      <c r="C95" s="102" t="s">
        <v>37</v>
      </c>
      <c r="D95" s="99"/>
      <c r="E95" s="113">
        <f>SUM(F95:Q95)</f>
        <v>0</v>
      </c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8"/>
      <c r="Q95" s="98"/>
      <c r="R95" s="117"/>
    </row>
    <row r="96" spans="1:18" s="109" customFormat="1" ht="24.75" customHeight="1" hidden="1">
      <c r="A96" s="110" t="s">
        <v>194</v>
      </c>
      <c r="B96" s="491" t="s">
        <v>204</v>
      </c>
      <c r="C96" s="110" t="s">
        <v>37</v>
      </c>
      <c r="D96" s="221">
        <f>D97</f>
        <v>344</v>
      </c>
      <c r="E96" s="108">
        <f>E97</f>
        <v>560</v>
      </c>
      <c r="F96" s="108">
        <f>F97</f>
        <v>35</v>
      </c>
      <c r="G96" s="108">
        <f aca="true" t="shared" si="21" ref="G96:Q96">G97</f>
        <v>35</v>
      </c>
      <c r="H96" s="108">
        <f t="shared" si="21"/>
        <v>35</v>
      </c>
      <c r="I96" s="108">
        <f t="shared" si="21"/>
        <v>35</v>
      </c>
      <c r="J96" s="108">
        <f t="shared" si="21"/>
        <v>70</v>
      </c>
      <c r="K96" s="108">
        <f t="shared" si="21"/>
        <v>70</v>
      </c>
      <c r="L96" s="108">
        <f t="shared" si="21"/>
        <v>35</v>
      </c>
      <c r="M96" s="108">
        <f t="shared" si="21"/>
        <v>70</v>
      </c>
      <c r="N96" s="108">
        <f t="shared" si="21"/>
        <v>35</v>
      </c>
      <c r="O96" s="108">
        <f t="shared" si="21"/>
        <v>35</v>
      </c>
      <c r="P96" s="108">
        <f t="shared" si="21"/>
        <v>70</v>
      </c>
      <c r="Q96" s="108">
        <f t="shared" si="21"/>
        <v>35</v>
      </c>
      <c r="R96" s="219" t="e">
        <f>#REF!/D96*100</f>
        <v>#REF!</v>
      </c>
    </row>
    <row r="97" spans="1:18" s="103" customFormat="1" ht="24.75" customHeight="1" hidden="1">
      <c r="A97" s="102"/>
      <c r="B97" s="493" t="s">
        <v>42</v>
      </c>
      <c r="C97" s="102" t="s">
        <v>37</v>
      </c>
      <c r="D97" s="99">
        <v>344</v>
      </c>
      <c r="E97" s="113">
        <f>SUM(F97:Q97)</f>
        <v>560</v>
      </c>
      <c r="F97" s="101">
        <v>35</v>
      </c>
      <c r="G97" s="101">
        <v>35</v>
      </c>
      <c r="H97" s="101">
        <v>35</v>
      </c>
      <c r="I97" s="101">
        <v>35</v>
      </c>
      <c r="J97" s="101">
        <v>70</v>
      </c>
      <c r="K97" s="101">
        <v>70</v>
      </c>
      <c r="L97" s="101">
        <v>35</v>
      </c>
      <c r="M97" s="101">
        <v>70</v>
      </c>
      <c r="N97" s="101">
        <v>35</v>
      </c>
      <c r="O97" s="101">
        <v>35</v>
      </c>
      <c r="P97" s="101">
        <v>70</v>
      </c>
      <c r="Q97" s="101">
        <v>35</v>
      </c>
      <c r="R97" s="117" t="e">
        <f>#REF!/D97*100</f>
        <v>#REF!</v>
      </c>
    </row>
    <row r="98" spans="1:18" s="103" customFormat="1" ht="24.75" customHeight="1" hidden="1">
      <c r="A98" s="102"/>
      <c r="B98" s="494" t="s">
        <v>334</v>
      </c>
      <c r="C98" s="102" t="s">
        <v>37</v>
      </c>
      <c r="D98" s="99">
        <v>344</v>
      </c>
      <c r="E98" s="113">
        <f>SUM(F98:Q98)</f>
        <v>560</v>
      </c>
      <c r="F98" s="101">
        <v>35</v>
      </c>
      <c r="G98" s="101">
        <v>35</v>
      </c>
      <c r="H98" s="101">
        <v>35</v>
      </c>
      <c r="I98" s="101">
        <v>35</v>
      </c>
      <c r="J98" s="101">
        <v>70</v>
      </c>
      <c r="K98" s="101">
        <v>70</v>
      </c>
      <c r="L98" s="101">
        <v>35</v>
      </c>
      <c r="M98" s="101">
        <v>70</v>
      </c>
      <c r="N98" s="101">
        <v>35</v>
      </c>
      <c r="O98" s="101">
        <v>35</v>
      </c>
      <c r="P98" s="101">
        <v>70</v>
      </c>
      <c r="Q98" s="101">
        <v>35</v>
      </c>
      <c r="R98" s="117" t="e">
        <f>#REF!/D98*100</f>
        <v>#REF!</v>
      </c>
    </row>
    <row r="99" spans="1:18" s="111" customFormat="1" ht="24.75" customHeight="1" hidden="1">
      <c r="A99" s="110" t="s">
        <v>195</v>
      </c>
      <c r="B99" s="491" t="s">
        <v>43</v>
      </c>
      <c r="C99" s="110" t="s">
        <v>37</v>
      </c>
      <c r="D99" s="221"/>
      <c r="E99" s="108"/>
      <c r="F99" s="108"/>
      <c r="G99" s="108"/>
      <c r="H99" s="108"/>
      <c r="I99" s="108"/>
      <c r="J99" s="108"/>
      <c r="K99" s="108"/>
      <c r="L99" s="108"/>
      <c r="M99" s="108"/>
      <c r="N99" s="108"/>
      <c r="O99" s="108"/>
      <c r="P99" s="108"/>
      <c r="Q99" s="108"/>
      <c r="R99" s="219"/>
    </row>
    <row r="100" spans="2:18" s="106" customFormat="1" ht="31.5" customHeight="1" hidden="1">
      <c r="B100" s="495" t="s">
        <v>335</v>
      </c>
      <c r="C100" s="106" t="s">
        <v>37</v>
      </c>
      <c r="D100" s="101"/>
      <c r="E100" s="113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17"/>
    </row>
    <row r="102" spans="5:17" ht="15">
      <c r="E102" s="94"/>
      <c r="F102" s="94"/>
      <c r="G102" s="94"/>
      <c r="H102" s="94"/>
      <c r="I102" s="94"/>
      <c r="J102" s="94"/>
      <c r="K102" s="94"/>
      <c r="L102" s="94"/>
      <c r="M102" s="94"/>
      <c r="N102" s="94"/>
      <c r="O102" s="94"/>
      <c r="P102" s="94"/>
      <c r="Q102" s="94"/>
    </row>
    <row r="103" spans="5:17" ht="15">
      <c r="E103" s="94"/>
      <c r="F103" s="96"/>
      <c r="G103" s="96"/>
      <c r="H103" s="96"/>
      <c r="I103" s="96"/>
      <c r="J103" s="96"/>
      <c r="K103" s="96"/>
      <c r="L103" s="96"/>
      <c r="M103" s="96"/>
      <c r="N103" s="96"/>
      <c r="O103" s="96"/>
      <c r="P103" s="96"/>
      <c r="Q103" s="96"/>
    </row>
    <row r="104" ht="15">
      <c r="E104" s="94"/>
    </row>
    <row r="105" spans="5:17" ht="15">
      <c r="E105" s="94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</row>
    <row r="106" ht="15">
      <c r="F106" s="95"/>
    </row>
    <row r="108" ht="15">
      <c r="G108" s="94"/>
    </row>
    <row r="114" spans="1:18" ht="15">
      <c r="A114" s="51"/>
      <c r="B114" s="497"/>
      <c r="E114" s="56"/>
      <c r="F114" s="56"/>
      <c r="G114" s="56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3"/>
    </row>
    <row r="115" spans="1:18" ht="15">
      <c r="A115" s="51"/>
      <c r="B115" s="498"/>
      <c r="D115" s="52"/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3"/>
    </row>
    <row r="116" spans="1:18" ht="15">
      <c r="A116" s="51"/>
      <c r="B116" s="498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3"/>
    </row>
    <row r="117" spans="1:18" ht="15">
      <c r="A117" s="51"/>
      <c r="B117" s="498"/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3"/>
    </row>
    <row r="118" ht="15">
      <c r="B118" s="498"/>
    </row>
    <row r="119" ht="15">
      <c r="B119" s="499"/>
    </row>
    <row r="120" ht="15">
      <c r="B120" s="498"/>
    </row>
    <row r="121" ht="15">
      <c r="B121" s="498"/>
    </row>
    <row r="122" ht="15">
      <c r="B122" s="498"/>
    </row>
    <row r="123" ht="15">
      <c r="B123" s="498"/>
    </row>
    <row r="124" ht="15">
      <c r="B124" s="498"/>
    </row>
    <row r="125" ht="15">
      <c r="B125" s="499"/>
    </row>
    <row r="126" spans="1:4" ht="15">
      <c r="A126" s="47"/>
      <c r="B126" s="500"/>
      <c r="C126" s="47"/>
      <c r="D126" s="47"/>
    </row>
    <row r="127" spans="1:17" s="46" customFormat="1" ht="20.25" customHeight="1">
      <c r="A127" s="47"/>
      <c r="B127" s="500"/>
      <c r="C127" s="47"/>
      <c r="D127" s="47"/>
      <c r="E127" s="58"/>
      <c r="F127" s="58"/>
      <c r="G127" s="58"/>
      <c r="H127" s="58"/>
      <c r="I127" s="58"/>
      <c r="J127" s="58"/>
      <c r="K127" s="58"/>
      <c r="L127" s="58"/>
      <c r="M127" s="58"/>
      <c r="N127" s="58"/>
      <c r="O127" s="58"/>
      <c r="P127" s="58"/>
      <c r="Q127" s="58"/>
    </row>
    <row r="128" spans="2:17" s="47" customFormat="1" ht="20.25" customHeight="1">
      <c r="B128" s="500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8"/>
    </row>
    <row r="129" spans="2:17" s="47" customFormat="1" ht="20.25" customHeight="1">
      <c r="B129" s="500"/>
      <c r="E129" s="58"/>
      <c r="F129" s="58"/>
      <c r="G129" s="58"/>
      <c r="H129" s="58"/>
      <c r="I129" s="58"/>
      <c r="J129" s="58"/>
      <c r="K129" s="58"/>
      <c r="L129" s="58"/>
      <c r="M129" s="58"/>
      <c r="N129" s="58"/>
      <c r="O129" s="58"/>
      <c r="P129" s="58"/>
      <c r="Q129" s="58"/>
    </row>
    <row r="130" spans="2:17" s="47" customFormat="1" ht="20.25" customHeight="1">
      <c r="B130" s="500"/>
      <c r="E130" s="58"/>
      <c r="F130" s="58"/>
      <c r="G130" s="58"/>
      <c r="H130" s="58"/>
      <c r="I130" s="58"/>
      <c r="J130" s="58"/>
      <c r="K130" s="58"/>
      <c r="L130" s="58"/>
      <c r="M130" s="58"/>
      <c r="N130" s="58"/>
      <c r="O130" s="58"/>
      <c r="P130" s="58"/>
      <c r="Q130" s="58"/>
    </row>
    <row r="131" spans="2:17" s="47" customFormat="1" ht="20.25" customHeight="1">
      <c r="B131" s="500"/>
      <c r="E131" s="58"/>
      <c r="F131" s="58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8"/>
    </row>
    <row r="132" spans="2:17" s="47" customFormat="1" ht="20.25" customHeight="1">
      <c r="B132" s="500"/>
      <c r="E132" s="58"/>
      <c r="F132" s="58"/>
      <c r="G132" s="58"/>
      <c r="H132" s="58"/>
      <c r="I132" s="58"/>
      <c r="J132" s="58"/>
      <c r="K132" s="58"/>
      <c r="L132" s="58"/>
      <c r="M132" s="58"/>
      <c r="N132" s="58"/>
      <c r="O132" s="58"/>
      <c r="P132" s="58"/>
      <c r="Q132" s="58"/>
    </row>
    <row r="133" spans="2:17" s="47" customFormat="1" ht="20.25" customHeight="1">
      <c r="B133" s="500"/>
      <c r="E133" s="58"/>
      <c r="F133" s="58"/>
      <c r="G133" s="58"/>
      <c r="H133" s="58"/>
      <c r="I133" s="58"/>
      <c r="J133" s="58"/>
      <c r="K133" s="58"/>
      <c r="L133" s="58"/>
      <c r="M133" s="58"/>
      <c r="N133" s="58"/>
      <c r="O133" s="58"/>
      <c r="P133" s="58"/>
      <c r="Q133" s="58"/>
    </row>
    <row r="134" spans="2:17" s="47" customFormat="1" ht="20.25" customHeight="1">
      <c r="B134" s="500"/>
      <c r="E134" s="58"/>
      <c r="F134" s="58"/>
      <c r="G134" s="58"/>
      <c r="H134" s="58"/>
      <c r="I134" s="58"/>
      <c r="J134" s="58"/>
      <c r="K134" s="58"/>
      <c r="L134" s="58"/>
      <c r="M134" s="58"/>
      <c r="N134" s="58"/>
      <c r="O134" s="58"/>
      <c r="P134" s="58"/>
      <c r="Q134" s="58"/>
    </row>
    <row r="135" spans="2:17" s="47" customFormat="1" ht="20.25" customHeight="1">
      <c r="B135" s="500"/>
      <c r="E135" s="58"/>
      <c r="F135" s="58"/>
      <c r="G135" s="58"/>
      <c r="H135" s="58"/>
      <c r="I135" s="58"/>
      <c r="J135" s="58"/>
      <c r="K135" s="58"/>
      <c r="L135" s="58"/>
      <c r="M135" s="58"/>
      <c r="N135" s="58"/>
      <c r="O135" s="58"/>
      <c r="P135" s="58"/>
      <c r="Q135" s="58"/>
    </row>
    <row r="136" spans="1:17" s="46" customFormat="1" ht="20.25" customHeight="1">
      <c r="A136" s="47"/>
      <c r="B136" s="500"/>
      <c r="C136" s="47"/>
      <c r="D136" s="47"/>
      <c r="E136" s="58"/>
      <c r="F136" s="58"/>
      <c r="G136" s="58"/>
      <c r="H136" s="58"/>
      <c r="I136" s="58"/>
      <c r="J136" s="58"/>
      <c r="K136" s="58"/>
      <c r="L136" s="58"/>
      <c r="M136" s="58"/>
      <c r="N136" s="58"/>
      <c r="O136" s="58"/>
      <c r="P136" s="58"/>
      <c r="Q136" s="58"/>
    </row>
    <row r="137" spans="1:17" s="46" customFormat="1" ht="20.25" customHeight="1">
      <c r="A137" s="47"/>
      <c r="B137" s="500"/>
      <c r="C137" s="47"/>
      <c r="D137" s="47"/>
      <c r="E137" s="58"/>
      <c r="F137" s="58"/>
      <c r="G137" s="58"/>
      <c r="H137" s="58"/>
      <c r="I137" s="58"/>
      <c r="J137" s="58"/>
      <c r="K137" s="58"/>
      <c r="L137" s="58"/>
      <c r="M137" s="58"/>
      <c r="N137" s="58"/>
      <c r="O137" s="58"/>
      <c r="P137" s="58"/>
      <c r="Q137" s="58"/>
    </row>
    <row r="138" spans="1:17" s="46" customFormat="1" ht="20.25" customHeight="1">
      <c r="A138" s="47"/>
      <c r="B138" s="500"/>
      <c r="C138" s="47"/>
      <c r="D138" s="47"/>
      <c r="E138" s="58"/>
      <c r="F138" s="58"/>
      <c r="G138" s="58"/>
      <c r="H138" s="58"/>
      <c r="I138" s="58"/>
      <c r="J138" s="58"/>
      <c r="K138" s="58"/>
      <c r="L138" s="58"/>
      <c r="M138" s="58"/>
      <c r="N138" s="58"/>
      <c r="O138" s="58"/>
      <c r="P138" s="58"/>
      <c r="Q138" s="58"/>
    </row>
    <row r="139" spans="1:17" s="46" customFormat="1" ht="14.25">
      <c r="A139" s="47"/>
      <c r="B139" s="500"/>
      <c r="C139" s="47"/>
      <c r="D139" s="47"/>
      <c r="E139" s="58"/>
      <c r="F139" s="58"/>
      <c r="G139" s="58"/>
      <c r="H139" s="58"/>
      <c r="I139" s="58"/>
      <c r="J139" s="58"/>
      <c r="K139" s="58"/>
      <c r="L139" s="58"/>
      <c r="M139" s="58"/>
      <c r="N139" s="58"/>
      <c r="O139" s="58"/>
      <c r="P139" s="58"/>
      <c r="Q139" s="58"/>
    </row>
    <row r="140" spans="1:17" s="46" customFormat="1" ht="14.25">
      <c r="A140" s="53"/>
      <c r="B140" s="501"/>
      <c r="E140" s="58"/>
      <c r="F140" s="58"/>
      <c r="G140" s="58"/>
      <c r="H140" s="58"/>
      <c r="I140" s="58"/>
      <c r="J140" s="58"/>
      <c r="K140" s="58"/>
      <c r="L140" s="58"/>
      <c r="M140" s="58"/>
      <c r="N140" s="58"/>
      <c r="O140" s="58"/>
      <c r="P140" s="58"/>
      <c r="Q140" s="58"/>
    </row>
  </sheetData>
  <sheetProtection/>
  <mergeCells count="12">
    <mergeCell ref="C6:C8"/>
    <mergeCell ref="D6:D8"/>
    <mergeCell ref="B6:B8"/>
    <mergeCell ref="A6:A8"/>
    <mergeCell ref="A2:R2"/>
    <mergeCell ref="A3:R3"/>
    <mergeCell ref="A4:R4"/>
    <mergeCell ref="A5:R5"/>
    <mergeCell ref="E7:E8"/>
    <mergeCell ref="F7:Q7"/>
    <mergeCell ref="E6:Q6"/>
    <mergeCell ref="R6:R8"/>
  </mergeCells>
  <printOptions/>
  <pageMargins left="0.196850393700787" right="0.118110236220472" top="0.61" bottom="0.35" header="0.196850393700787" footer="0.196850393700787"/>
  <pageSetup horizontalDpi="600" verticalDpi="600" orientation="landscape" paperSize="9" scale="75" r:id="rId4"/>
  <colBreaks count="1" manualBreakCount="1">
    <brk id="18" max="97" man="1"/>
  </colBreak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N105"/>
  <sheetViews>
    <sheetView view="pageBreakPreview" zoomScale="145" zoomScaleSheetLayoutView="145" zoomScalePageLayoutView="0" workbookViewId="0" topLeftCell="A1">
      <pane ySplit="8" topLeftCell="A9" activePane="bottomLeft" state="frozen"/>
      <selection pane="topLeft" activeCell="A1" sqref="A1"/>
      <selection pane="bottomLeft" activeCell="A3" sqref="A3:R3"/>
    </sheetView>
  </sheetViews>
  <sheetFormatPr defaultColWidth="9.140625" defaultRowHeight="12.75"/>
  <cols>
    <col min="1" max="1" width="4.57421875" style="40" customWidth="1"/>
    <col min="2" max="2" width="33.140625" style="25" customWidth="1"/>
    <col min="3" max="3" width="8.8515625" style="25" customWidth="1"/>
    <col min="4" max="4" width="13.00390625" style="25" customWidth="1"/>
    <col min="5" max="5" width="7.28125" style="360" customWidth="1"/>
    <col min="6" max="6" width="6.28125" style="25" customWidth="1"/>
    <col min="7" max="7" width="7.00390625" style="25" customWidth="1"/>
    <col min="8" max="8" width="5.8515625" style="472" customWidth="1"/>
    <col min="9" max="9" width="6.7109375" style="25" customWidth="1"/>
    <col min="10" max="10" width="6.28125" style="25" customWidth="1"/>
    <col min="11" max="11" width="5.8515625" style="25" customWidth="1"/>
    <col min="12" max="12" width="6.7109375" style="25" customWidth="1"/>
    <col min="13" max="14" width="5.8515625" style="25" customWidth="1"/>
    <col min="15" max="15" width="6.421875" style="25" customWidth="1"/>
    <col min="16" max="16" width="6.57421875" style="25" customWidth="1"/>
    <col min="17" max="17" width="6.421875" style="25" customWidth="1"/>
    <col min="18" max="18" width="10.8515625" style="25" customWidth="1"/>
    <col min="19" max="19" width="10.28125" style="25" customWidth="1"/>
    <col min="20" max="20" width="3.421875" style="25" hidden="1" customWidth="1"/>
    <col min="21" max="21" width="37.7109375" style="25" hidden="1" customWidth="1"/>
    <col min="22" max="22" width="7.57421875" style="25" hidden="1" customWidth="1"/>
    <col min="23" max="23" width="9.57421875" style="26" hidden="1" customWidth="1"/>
    <col min="24" max="24" width="9.8515625" style="27" hidden="1" customWidth="1"/>
    <col min="25" max="25" width="9.421875" style="28" hidden="1" customWidth="1"/>
    <col min="26" max="26" width="9.28125" style="25" hidden="1" customWidth="1"/>
    <col min="27" max="28" width="8.7109375" style="25" hidden="1" customWidth="1"/>
    <col min="29" max="29" width="7.8515625" style="25" hidden="1" customWidth="1"/>
    <col min="30" max="30" width="8.7109375" style="25" hidden="1" customWidth="1"/>
    <col min="31" max="31" width="8.57421875" style="25" hidden="1" customWidth="1"/>
    <col min="32" max="32" width="7.8515625" style="25" hidden="1" customWidth="1"/>
    <col min="33" max="34" width="8.421875" style="25" hidden="1" customWidth="1"/>
    <col min="35" max="35" width="0" style="25" hidden="1" customWidth="1"/>
    <col min="36" max="36" width="10.7109375" style="25" customWidth="1"/>
    <col min="37" max="16384" width="9.140625" style="25" customWidth="1"/>
  </cols>
  <sheetData>
    <row r="1" spans="1:18" ht="16.5">
      <c r="A1" s="786" t="s">
        <v>698</v>
      </c>
      <c r="B1" s="786"/>
      <c r="C1" s="24"/>
      <c r="D1" s="24"/>
      <c r="E1" s="359"/>
      <c r="F1" s="24"/>
      <c r="G1" s="24"/>
      <c r="H1" s="470"/>
      <c r="I1" s="24"/>
      <c r="J1" s="24"/>
      <c r="K1" s="24"/>
      <c r="L1" s="24"/>
      <c r="M1" s="24"/>
      <c r="N1" s="24"/>
      <c r="O1" s="24"/>
      <c r="P1" s="24"/>
      <c r="Q1" s="24"/>
      <c r="R1" s="24"/>
    </row>
    <row r="2" spans="1:25" s="30" customFormat="1" ht="20.25" customHeight="1">
      <c r="A2" s="787" t="s">
        <v>630</v>
      </c>
      <c r="B2" s="787"/>
      <c r="C2" s="787"/>
      <c r="D2" s="787"/>
      <c r="E2" s="787"/>
      <c r="F2" s="787"/>
      <c r="G2" s="787"/>
      <c r="H2" s="787"/>
      <c r="I2" s="787"/>
      <c r="J2" s="787"/>
      <c r="K2" s="787"/>
      <c r="L2" s="787"/>
      <c r="M2" s="787"/>
      <c r="N2" s="787"/>
      <c r="O2" s="787"/>
      <c r="P2" s="787"/>
      <c r="Q2" s="787"/>
      <c r="R2" s="787"/>
      <c r="S2" s="29"/>
      <c r="W2" s="31"/>
      <c r="X2" s="32"/>
      <c r="Y2" s="33"/>
    </row>
    <row r="3" spans="1:25" s="30" customFormat="1" ht="21" customHeight="1">
      <c r="A3" s="788" t="s">
        <v>697</v>
      </c>
      <c r="B3" s="788"/>
      <c r="C3" s="788"/>
      <c r="D3" s="788"/>
      <c r="E3" s="788"/>
      <c r="F3" s="788"/>
      <c r="G3" s="788"/>
      <c r="H3" s="788"/>
      <c r="I3" s="788"/>
      <c r="J3" s="788"/>
      <c r="K3" s="788"/>
      <c r="L3" s="788"/>
      <c r="M3" s="788"/>
      <c r="N3" s="788"/>
      <c r="O3" s="788"/>
      <c r="P3" s="788"/>
      <c r="Q3" s="788"/>
      <c r="R3" s="788"/>
      <c r="S3" s="29"/>
      <c r="W3" s="31"/>
      <c r="X3" s="32"/>
      <c r="Y3" s="33"/>
    </row>
    <row r="4" spans="1:18" s="36" customFormat="1" ht="18" customHeight="1">
      <c r="A4" s="34"/>
      <c r="B4" s="35"/>
      <c r="C4" s="35"/>
      <c r="D4" s="789"/>
      <c r="E4" s="789"/>
      <c r="F4" s="789"/>
      <c r="G4" s="789"/>
      <c r="H4" s="789"/>
      <c r="I4" s="789"/>
      <c r="J4" s="789"/>
      <c r="K4" s="789"/>
      <c r="L4" s="789"/>
      <c r="M4" s="789"/>
      <c r="N4" s="789"/>
      <c r="O4" s="789"/>
      <c r="P4" s="789"/>
      <c r="Q4" s="789"/>
      <c r="R4" s="789"/>
    </row>
    <row r="5" spans="1:144" s="38" customFormat="1" ht="45" customHeight="1">
      <c r="A5" s="775" t="s">
        <v>44</v>
      </c>
      <c r="B5" s="790" t="s">
        <v>190</v>
      </c>
      <c r="C5" s="775" t="s">
        <v>45</v>
      </c>
      <c r="D5" s="775" t="s">
        <v>687</v>
      </c>
      <c r="E5" s="784" t="s">
        <v>688</v>
      </c>
      <c r="F5" s="784"/>
      <c r="G5" s="784"/>
      <c r="H5" s="784"/>
      <c r="I5" s="784"/>
      <c r="J5" s="784"/>
      <c r="K5" s="784"/>
      <c r="L5" s="784"/>
      <c r="M5" s="784"/>
      <c r="N5" s="784"/>
      <c r="O5" s="784"/>
      <c r="P5" s="784"/>
      <c r="Q5" s="784"/>
      <c r="R5" s="785" t="s">
        <v>693</v>
      </c>
      <c r="S5" s="37"/>
      <c r="T5" s="777"/>
      <c r="U5" s="780" t="s">
        <v>49</v>
      </c>
      <c r="V5" s="777" t="s">
        <v>45</v>
      </c>
      <c r="W5" s="781" t="s">
        <v>46</v>
      </c>
      <c r="X5" s="782" t="s">
        <v>50</v>
      </c>
      <c r="Y5" s="778" t="s">
        <v>47</v>
      </c>
      <c r="Z5" s="779" t="s">
        <v>48</v>
      </c>
      <c r="AA5" s="779"/>
      <c r="AB5" s="779"/>
      <c r="AC5" s="779"/>
      <c r="AD5" s="779"/>
      <c r="AE5" s="779"/>
      <c r="AF5" s="779"/>
      <c r="AG5" s="779"/>
      <c r="AH5" s="779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  <c r="DQ5" s="37"/>
      <c r="DR5" s="37"/>
      <c r="DS5" s="37"/>
      <c r="DT5" s="37"/>
      <c r="DU5" s="37"/>
      <c r="DV5" s="37"/>
      <c r="DW5" s="37"/>
      <c r="DX5" s="37"/>
      <c r="DY5" s="37"/>
      <c r="DZ5" s="37"/>
      <c r="EA5" s="37"/>
      <c r="EB5" s="37"/>
      <c r="EC5" s="37"/>
      <c r="ED5" s="37"/>
      <c r="EE5" s="37"/>
      <c r="EF5" s="37"/>
      <c r="EG5" s="37"/>
      <c r="EH5" s="37"/>
      <c r="EI5" s="37"/>
      <c r="EJ5" s="37"/>
      <c r="EK5" s="37"/>
      <c r="EL5" s="37"/>
      <c r="EM5" s="37"/>
      <c r="EN5" s="37"/>
    </row>
    <row r="6" spans="1:144" s="38" customFormat="1" ht="22.5" customHeight="1">
      <c r="A6" s="775"/>
      <c r="B6" s="790"/>
      <c r="C6" s="775"/>
      <c r="D6" s="775"/>
      <c r="E6" s="783" t="s">
        <v>367</v>
      </c>
      <c r="F6" s="776" t="s">
        <v>207</v>
      </c>
      <c r="G6" s="776"/>
      <c r="H6" s="776"/>
      <c r="I6" s="776"/>
      <c r="J6" s="776"/>
      <c r="K6" s="776"/>
      <c r="L6" s="776"/>
      <c r="M6" s="776"/>
      <c r="N6" s="776"/>
      <c r="O6" s="776"/>
      <c r="P6" s="776"/>
      <c r="Q6" s="776"/>
      <c r="R6" s="785"/>
      <c r="S6" s="37"/>
      <c r="T6" s="777"/>
      <c r="U6" s="780"/>
      <c r="V6" s="777"/>
      <c r="W6" s="781"/>
      <c r="X6" s="782"/>
      <c r="Y6" s="778"/>
      <c r="Z6" s="41"/>
      <c r="AA6" s="41"/>
      <c r="AB6" s="41"/>
      <c r="AC6" s="41"/>
      <c r="AD6" s="41"/>
      <c r="AE6" s="41"/>
      <c r="AF6" s="41"/>
      <c r="AG6" s="41"/>
      <c r="AH6" s="41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7"/>
      <c r="CF6" s="37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  <c r="DQ6" s="37"/>
      <c r="DR6" s="37"/>
      <c r="DS6" s="37"/>
      <c r="DT6" s="37"/>
      <c r="DU6" s="37"/>
      <c r="DV6" s="37"/>
      <c r="DW6" s="37"/>
      <c r="DX6" s="37"/>
      <c r="DY6" s="37"/>
      <c r="DZ6" s="37"/>
      <c r="EA6" s="37"/>
      <c r="EB6" s="37"/>
      <c r="EC6" s="37"/>
      <c r="ED6" s="37"/>
      <c r="EE6" s="37"/>
      <c r="EF6" s="37"/>
      <c r="EG6" s="37"/>
      <c r="EH6" s="37"/>
      <c r="EI6" s="37"/>
      <c r="EJ6" s="37"/>
      <c r="EK6" s="37"/>
      <c r="EL6" s="37"/>
      <c r="EM6" s="37"/>
      <c r="EN6" s="37"/>
    </row>
    <row r="7" spans="1:144" s="38" customFormat="1" ht="49.5" customHeight="1">
      <c r="A7" s="775"/>
      <c r="B7" s="790"/>
      <c r="C7" s="775"/>
      <c r="D7" s="775"/>
      <c r="E7" s="783"/>
      <c r="F7" s="747" t="s">
        <v>579</v>
      </c>
      <c r="G7" s="747" t="s">
        <v>580</v>
      </c>
      <c r="H7" s="747" t="s">
        <v>581</v>
      </c>
      <c r="I7" s="747" t="s">
        <v>582</v>
      </c>
      <c r="J7" s="747" t="s">
        <v>553</v>
      </c>
      <c r="K7" s="747" t="s">
        <v>375</v>
      </c>
      <c r="L7" s="747" t="s">
        <v>377</v>
      </c>
      <c r="M7" s="747" t="s">
        <v>576</v>
      </c>
      <c r="N7" s="747" t="s">
        <v>660</v>
      </c>
      <c r="O7" s="747" t="s">
        <v>380</v>
      </c>
      <c r="P7" s="747" t="s">
        <v>577</v>
      </c>
      <c r="Q7" s="747" t="s">
        <v>578</v>
      </c>
      <c r="R7" s="785"/>
      <c r="S7" s="37"/>
      <c r="T7" s="777"/>
      <c r="U7" s="780"/>
      <c r="V7" s="777"/>
      <c r="W7" s="781"/>
      <c r="X7" s="782"/>
      <c r="Y7" s="778"/>
      <c r="Z7" s="39" t="s">
        <v>51</v>
      </c>
      <c r="AA7" s="39" t="s">
        <v>52</v>
      </c>
      <c r="AB7" s="39" t="s">
        <v>53</v>
      </c>
      <c r="AC7" s="39" t="s">
        <v>54</v>
      </c>
      <c r="AD7" s="39" t="s">
        <v>55</v>
      </c>
      <c r="AE7" s="39" t="s">
        <v>56</v>
      </c>
      <c r="AF7" s="39" t="s">
        <v>57</v>
      </c>
      <c r="AG7" s="39" t="s">
        <v>58</v>
      </c>
      <c r="AH7" s="39" t="s">
        <v>59</v>
      </c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/>
      <c r="EF7" s="37"/>
      <c r="EG7" s="37"/>
      <c r="EH7" s="37"/>
      <c r="EI7" s="37"/>
      <c r="EJ7" s="37"/>
      <c r="EK7" s="37"/>
      <c r="EL7" s="37"/>
      <c r="EM7" s="37"/>
      <c r="EN7" s="37"/>
    </row>
    <row r="8" spans="1:34" s="118" customFormat="1" ht="21.75" customHeight="1">
      <c r="A8" s="361" t="s">
        <v>191</v>
      </c>
      <c r="B8" s="362" t="s">
        <v>60</v>
      </c>
      <c r="C8" s="361" t="s">
        <v>583</v>
      </c>
      <c r="D8" s="364">
        <v>20257</v>
      </c>
      <c r="E8" s="364">
        <f>E10+E27+E63</f>
        <v>21042</v>
      </c>
      <c r="F8" s="364">
        <f aca="true" t="shared" si="0" ref="F8:Q8">F10+F27+F63</f>
        <v>3656</v>
      </c>
      <c r="G8" s="364">
        <f t="shared" si="0"/>
        <v>1907</v>
      </c>
      <c r="H8" s="364">
        <f t="shared" si="0"/>
        <v>2741</v>
      </c>
      <c r="I8" s="364">
        <f t="shared" si="0"/>
        <v>1227</v>
      </c>
      <c r="J8" s="364">
        <f t="shared" si="0"/>
        <v>1910</v>
      </c>
      <c r="K8" s="364">
        <f t="shared" si="0"/>
        <v>2007</v>
      </c>
      <c r="L8" s="364">
        <f t="shared" si="0"/>
        <v>1230</v>
      </c>
      <c r="M8" s="364">
        <f t="shared" si="0"/>
        <v>1212</v>
      </c>
      <c r="N8" s="364">
        <f t="shared" si="0"/>
        <v>913</v>
      </c>
      <c r="O8" s="364">
        <f t="shared" si="0"/>
        <v>1667</v>
      </c>
      <c r="P8" s="364">
        <f t="shared" si="0"/>
        <v>1607</v>
      </c>
      <c r="Q8" s="364">
        <f t="shared" si="0"/>
        <v>805</v>
      </c>
      <c r="R8" s="664">
        <f>E8/D8*100</f>
        <v>103.87520363331195</v>
      </c>
      <c r="T8" s="119" t="s">
        <v>191</v>
      </c>
      <c r="U8" s="120" t="s">
        <v>60</v>
      </c>
      <c r="V8" s="119"/>
      <c r="W8" s="121">
        <f>W9+W26</f>
        <v>83277</v>
      </c>
      <c r="X8" s="122">
        <f>X9+X26</f>
        <v>86544</v>
      </c>
      <c r="Y8" s="123">
        <f>SUM(Z8:AH8)</f>
        <v>88614</v>
      </c>
      <c r="Z8" s="124">
        <f aca="true" t="shared" si="1" ref="Z8:AH8">Z9+Z26</f>
        <v>10060</v>
      </c>
      <c r="AA8" s="124">
        <f t="shared" si="1"/>
        <v>17889</v>
      </c>
      <c r="AB8" s="124">
        <f t="shared" si="1"/>
        <v>10210</v>
      </c>
      <c r="AC8" s="124">
        <f t="shared" si="1"/>
        <v>1820</v>
      </c>
      <c r="AD8" s="124">
        <f t="shared" si="1"/>
        <v>10200</v>
      </c>
      <c r="AE8" s="124">
        <f t="shared" si="1"/>
        <v>10015</v>
      </c>
      <c r="AF8" s="124">
        <f t="shared" si="1"/>
        <v>8310</v>
      </c>
      <c r="AG8" s="124">
        <f t="shared" si="1"/>
        <v>13100</v>
      </c>
      <c r="AH8" s="124">
        <f t="shared" si="1"/>
        <v>7010</v>
      </c>
    </row>
    <row r="9" spans="1:34" s="118" customFormat="1" ht="16.5" customHeight="1">
      <c r="A9" s="361">
        <v>1</v>
      </c>
      <c r="B9" s="363" t="s">
        <v>62</v>
      </c>
      <c r="C9" s="361"/>
      <c r="D9" s="459"/>
      <c r="E9" s="384"/>
      <c r="F9" s="385"/>
      <c r="G9" s="385"/>
      <c r="H9" s="471"/>
      <c r="I9" s="385"/>
      <c r="J9" s="385"/>
      <c r="K9" s="385"/>
      <c r="L9" s="385"/>
      <c r="M9" s="385"/>
      <c r="N9" s="385"/>
      <c r="O9" s="385"/>
      <c r="P9" s="385"/>
      <c r="Q9" s="385"/>
      <c r="R9" s="515"/>
      <c r="T9" s="125">
        <v>1</v>
      </c>
      <c r="U9" s="126" t="s">
        <v>62</v>
      </c>
      <c r="V9" s="119" t="s">
        <v>61</v>
      </c>
      <c r="W9" s="127">
        <f>30784+100</f>
        <v>30884</v>
      </c>
      <c r="X9" s="128">
        <f>SUM(X11:X12)</f>
        <v>34671</v>
      </c>
      <c r="Y9" s="123">
        <f>SUM(Z9:AH9)</f>
        <v>35140</v>
      </c>
      <c r="Z9" s="129">
        <f>SUM(Z11:Z12)</f>
        <v>3680</v>
      </c>
      <c r="AA9" s="129">
        <f aca="true" t="shared" si="2" ref="AA9:AH9">SUM(AA11:AA12)</f>
        <v>7255</v>
      </c>
      <c r="AB9" s="129">
        <f t="shared" si="2"/>
        <v>4060</v>
      </c>
      <c r="AC9" s="129">
        <f t="shared" si="2"/>
        <v>870</v>
      </c>
      <c r="AD9" s="129">
        <f t="shared" si="2"/>
        <v>4450</v>
      </c>
      <c r="AE9" s="129">
        <f t="shared" si="2"/>
        <v>3755</v>
      </c>
      <c r="AF9" s="129">
        <f t="shared" si="2"/>
        <v>3060</v>
      </c>
      <c r="AG9" s="129">
        <f t="shared" si="2"/>
        <v>5150</v>
      </c>
      <c r="AH9" s="129">
        <f t="shared" si="2"/>
        <v>2860</v>
      </c>
    </row>
    <row r="10" spans="1:34" s="118" customFormat="1" ht="16.5" customHeight="1">
      <c r="A10" s="361" t="s">
        <v>237</v>
      </c>
      <c r="B10" s="362" t="s">
        <v>306</v>
      </c>
      <c r="C10" s="361" t="s">
        <v>583</v>
      </c>
      <c r="D10" s="364">
        <v>5816</v>
      </c>
      <c r="E10" s="364">
        <f aca="true" t="shared" si="3" ref="E10:E17">SUM(F10:Q10)</f>
        <v>5512</v>
      </c>
      <c r="F10" s="364">
        <v>865</v>
      </c>
      <c r="G10" s="364">
        <v>428</v>
      </c>
      <c r="H10" s="471">
        <v>739</v>
      </c>
      <c r="I10" s="364">
        <v>362</v>
      </c>
      <c r="J10" s="364">
        <v>546</v>
      </c>
      <c r="K10" s="364">
        <v>575</v>
      </c>
      <c r="L10" s="364">
        <v>332</v>
      </c>
      <c r="M10" s="364">
        <v>302</v>
      </c>
      <c r="N10" s="364">
        <v>278</v>
      </c>
      <c r="O10" s="364">
        <v>413</v>
      </c>
      <c r="P10" s="364">
        <v>433</v>
      </c>
      <c r="Q10" s="364">
        <v>239</v>
      </c>
      <c r="R10" s="665">
        <f>E10/D10*100</f>
        <v>94.77303988995874</v>
      </c>
      <c r="T10" s="125"/>
      <c r="U10" s="126"/>
      <c r="V10" s="119"/>
      <c r="W10" s="127"/>
      <c r="X10" s="128"/>
      <c r="Y10" s="123"/>
      <c r="Z10" s="129"/>
      <c r="AA10" s="129"/>
      <c r="AB10" s="129"/>
      <c r="AC10" s="129"/>
      <c r="AD10" s="129"/>
      <c r="AE10" s="129"/>
      <c r="AF10" s="129"/>
      <c r="AG10" s="129"/>
      <c r="AH10" s="129"/>
    </row>
    <row r="11" spans="1:34" s="139" customFormat="1" ht="16.5" customHeight="1">
      <c r="A11" s="365"/>
      <c r="B11" s="366" t="s">
        <v>63</v>
      </c>
      <c r="C11" s="365" t="s">
        <v>64</v>
      </c>
      <c r="D11" s="460">
        <v>852</v>
      </c>
      <c r="E11" s="461">
        <f t="shared" si="3"/>
        <v>911</v>
      </c>
      <c r="F11" s="443">
        <v>202</v>
      </c>
      <c r="G11" s="443">
        <v>99</v>
      </c>
      <c r="H11" s="283">
        <v>126</v>
      </c>
      <c r="I11" s="443">
        <v>65</v>
      </c>
      <c r="J11" s="443">
        <v>85</v>
      </c>
      <c r="K11" s="443">
        <v>25</v>
      </c>
      <c r="L11" s="443">
        <v>60</v>
      </c>
      <c r="M11" s="443">
        <v>43</v>
      </c>
      <c r="N11" s="443">
        <v>61</v>
      </c>
      <c r="O11" s="443">
        <v>63</v>
      </c>
      <c r="P11" s="443">
        <v>42</v>
      </c>
      <c r="Q11" s="443">
        <v>40</v>
      </c>
      <c r="R11" s="666">
        <f aca="true" t="shared" si="4" ref="R11:R17">E11/D11*100</f>
        <v>106.92488262910797</v>
      </c>
      <c r="S11" s="130"/>
      <c r="T11" s="131"/>
      <c r="U11" s="132" t="s">
        <v>63</v>
      </c>
      <c r="V11" s="133" t="s">
        <v>64</v>
      </c>
      <c r="W11" s="134">
        <v>2535</v>
      </c>
      <c r="X11" s="135">
        <v>2951</v>
      </c>
      <c r="Y11" s="136">
        <f>SUM(Z11:AH11)</f>
        <v>3150</v>
      </c>
      <c r="Z11" s="137">
        <v>800</v>
      </c>
      <c r="AA11" s="137">
        <v>950</v>
      </c>
      <c r="AB11" s="138">
        <v>110</v>
      </c>
      <c r="AC11" s="138">
        <v>300</v>
      </c>
      <c r="AD11" s="137">
        <v>350</v>
      </c>
      <c r="AE11" s="131">
        <v>120</v>
      </c>
      <c r="AF11" s="137">
        <v>160</v>
      </c>
      <c r="AG11" s="131">
        <v>200</v>
      </c>
      <c r="AH11" s="137">
        <v>160</v>
      </c>
    </row>
    <row r="12" spans="1:34" s="139" customFormat="1" ht="16.5" customHeight="1">
      <c r="A12" s="365"/>
      <c r="B12" s="366" t="s">
        <v>65</v>
      </c>
      <c r="C12" s="365" t="s">
        <v>583</v>
      </c>
      <c r="D12" s="460">
        <v>4964</v>
      </c>
      <c r="E12" s="461">
        <f t="shared" si="3"/>
        <v>4601</v>
      </c>
      <c r="F12" s="443">
        <v>663</v>
      </c>
      <c r="G12" s="443">
        <v>329</v>
      </c>
      <c r="H12" s="283">
        <v>613</v>
      </c>
      <c r="I12" s="443">
        <v>297</v>
      </c>
      <c r="J12" s="443">
        <v>461</v>
      </c>
      <c r="K12" s="443">
        <v>550</v>
      </c>
      <c r="L12" s="443">
        <v>272</v>
      </c>
      <c r="M12" s="443">
        <v>259</v>
      </c>
      <c r="N12" s="443">
        <v>217</v>
      </c>
      <c r="O12" s="443">
        <v>350</v>
      </c>
      <c r="P12" s="443">
        <v>391</v>
      </c>
      <c r="Q12" s="443">
        <v>199</v>
      </c>
      <c r="R12" s="666">
        <f t="shared" si="4"/>
        <v>92.68734891216761</v>
      </c>
      <c r="S12" s="140"/>
      <c r="T12" s="131"/>
      <c r="U12" s="132" t="s">
        <v>65</v>
      </c>
      <c r="V12" s="133" t="s">
        <v>61</v>
      </c>
      <c r="W12" s="134">
        <v>27349</v>
      </c>
      <c r="X12" s="135">
        <v>31720</v>
      </c>
      <c r="Y12" s="136">
        <f>SUM(Z12:AH12)</f>
        <v>31990</v>
      </c>
      <c r="Z12" s="137">
        <v>2880</v>
      </c>
      <c r="AA12" s="137">
        <v>6305</v>
      </c>
      <c r="AB12" s="138">
        <v>3950</v>
      </c>
      <c r="AC12" s="138">
        <v>570</v>
      </c>
      <c r="AD12" s="137">
        <v>4100</v>
      </c>
      <c r="AE12" s="131">
        <v>3635</v>
      </c>
      <c r="AF12" s="137">
        <v>2900</v>
      </c>
      <c r="AG12" s="131">
        <v>4950</v>
      </c>
      <c r="AH12" s="137">
        <v>2700</v>
      </c>
    </row>
    <row r="13" spans="1:34" s="139" customFormat="1" ht="16.5" customHeight="1">
      <c r="A13" s="365"/>
      <c r="B13" s="366" t="s">
        <v>66</v>
      </c>
      <c r="C13" s="365" t="s">
        <v>583</v>
      </c>
      <c r="D13" s="460">
        <v>1756</v>
      </c>
      <c r="E13" s="461">
        <f t="shared" si="3"/>
        <v>1628</v>
      </c>
      <c r="F13" s="443">
        <v>229</v>
      </c>
      <c r="G13" s="443">
        <v>119</v>
      </c>
      <c r="H13" s="283">
        <v>217</v>
      </c>
      <c r="I13" s="443">
        <v>96</v>
      </c>
      <c r="J13" s="443">
        <v>182</v>
      </c>
      <c r="K13" s="443">
        <v>191</v>
      </c>
      <c r="L13" s="443">
        <v>90</v>
      </c>
      <c r="M13" s="443">
        <v>89</v>
      </c>
      <c r="N13" s="443">
        <v>75</v>
      </c>
      <c r="O13" s="443">
        <v>119</v>
      </c>
      <c r="P13" s="443">
        <v>146</v>
      </c>
      <c r="Q13" s="443">
        <v>75</v>
      </c>
      <c r="R13" s="666">
        <f t="shared" si="4"/>
        <v>92.71070615034168</v>
      </c>
      <c r="T13" s="131"/>
      <c r="U13" s="132" t="s">
        <v>66</v>
      </c>
      <c r="V13" s="133" t="s">
        <v>67</v>
      </c>
      <c r="W13" s="134">
        <v>11329</v>
      </c>
      <c r="X13" s="135">
        <f>W13+180</f>
        <v>11509</v>
      </c>
      <c r="Y13" s="136">
        <f>SUM(Z13:AH13)</f>
        <v>11842</v>
      </c>
      <c r="Z13" s="137">
        <v>890</v>
      </c>
      <c r="AA13" s="137">
        <v>2020</v>
      </c>
      <c r="AB13" s="138">
        <v>1625</v>
      </c>
      <c r="AC13" s="138">
        <v>179</v>
      </c>
      <c r="AD13" s="137">
        <v>1435</v>
      </c>
      <c r="AE13" s="131">
        <v>1850</v>
      </c>
      <c r="AF13" s="137">
        <v>943</v>
      </c>
      <c r="AG13" s="131">
        <v>1650</v>
      </c>
      <c r="AH13" s="137">
        <v>1250</v>
      </c>
    </row>
    <row r="14" spans="1:34" s="118" customFormat="1" ht="16.5" customHeight="1">
      <c r="A14" s="361" t="s">
        <v>238</v>
      </c>
      <c r="B14" s="362" t="s">
        <v>307</v>
      </c>
      <c r="C14" s="361"/>
      <c r="D14" s="457">
        <v>228</v>
      </c>
      <c r="E14" s="458">
        <f t="shared" si="3"/>
        <v>229</v>
      </c>
      <c r="F14" s="458">
        <f>F15+F16</f>
        <v>35</v>
      </c>
      <c r="G14" s="457">
        <f aca="true" t="shared" si="5" ref="G14:Q14">G15+G16</f>
        <v>18</v>
      </c>
      <c r="H14" s="667">
        <f t="shared" si="5"/>
        <v>30</v>
      </c>
      <c r="I14" s="457">
        <f t="shared" si="5"/>
        <v>15</v>
      </c>
      <c r="J14" s="457">
        <f t="shared" si="5"/>
        <v>24</v>
      </c>
      <c r="K14" s="457">
        <f t="shared" si="5"/>
        <v>21</v>
      </c>
      <c r="L14" s="457">
        <f t="shared" si="5"/>
        <v>15</v>
      </c>
      <c r="M14" s="457">
        <f t="shared" si="5"/>
        <v>13</v>
      </c>
      <c r="N14" s="457">
        <f t="shared" si="5"/>
        <v>11</v>
      </c>
      <c r="O14" s="457">
        <f t="shared" si="5"/>
        <v>17</v>
      </c>
      <c r="P14" s="457">
        <f t="shared" si="5"/>
        <v>19</v>
      </c>
      <c r="Q14" s="457">
        <f t="shared" si="5"/>
        <v>11</v>
      </c>
      <c r="R14" s="665">
        <f t="shared" si="4"/>
        <v>100.43859649122805</v>
      </c>
      <c r="T14" s="125"/>
      <c r="U14" s="126"/>
      <c r="V14" s="119"/>
      <c r="W14" s="127"/>
      <c r="X14" s="128"/>
      <c r="Y14" s="123"/>
      <c r="Z14" s="141"/>
      <c r="AA14" s="141"/>
      <c r="AB14" s="142"/>
      <c r="AC14" s="142"/>
      <c r="AD14" s="141"/>
      <c r="AE14" s="125"/>
      <c r="AF14" s="141"/>
      <c r="AG14" s="125"/>
      <c r="AH14" s="141"/>
    </row>
    <row r="15" spans="1:34" s="139" customFormat="1" ht="16.5" customHeight="1">
      <c r="A15" s="365"/>
      <c r="B15" s="366" t="s">
        <v>308</v>
      </c>
      <c r="C15" s="365" t="s">
        <v>311</v>
      </c>
      <c r="D15" s="460">
        <v>38</v>
      </c>
      <c r="E15" s="461">
        <f t="shared" si="3"/>
        <v>43</v>
      </c>
      <c r="F15" s="462">
        <v>9</v>
      </c>
      <c r="G15" s="462">
        <v>4</v>
      </c>
      <c r="H15" s="668">
        <v>6</v>
      </c>
      <c r="I15" s="462">
        <v>3</v>
      </c>
      <c r="J15" s="462">
        <v>5</v>
      </c>
      <c r="K15" s="462">
        <v>1</v>
      </c>
      <c r="L15" s="462">
        <v>3</v>
      </c>
      <c r="M15" s="462">
        <v>2</v>
      </c>
      <c r="N15" s="462">
        <v>3</v>
      </c>
      <c r="O15" s="462">
        <v>3</v>
      </c>
      <c r="P15" s="462">
        <v>2</v>
      </c>
      <c r="Q15" s="462">
        <v>2</v>
      </c>
      <c r="R15" s="666">
        <f t="shared" si="4"/>
        <v>113.1578947368421</v>
      </c>
      <c r="T15" s="131"/>
      <c r="U15" s="132"/>
      <c r="V15" s="133"/>
      <c r="W15" s="134"/>
      <c r="X15" s="135"/>
      <c r="Y15" s="136"/>
      <c r="Z15" s="137"/>
      <c r="AA15" s="137"/>
      <c r="AB15" s="138"/>
      <c r="AC15" s="138"/>
      <c r="AD15" s="137"/>
      <c r="AE15" s="131"/>
      <c r="AF15" s="137"/>
      <c r="AG15" s="131"/>
      <c r="AH15" s="137"/>
    </row>
    <row r="16" spans="1:34" s="139" customFormat="1" ht="16.5" customHeight="1">
      <c r="A16" s="365"/>
      <c r="B16" s="366" t="s">
        <v>309</v>
      </c>
      <c r="C16" s="365" t="s">
        <v>272</v>
      </c>
      <c r="D16" s="460">
        <v>190</v>
      </c>
      <c r="E16" s="461">
        <f t="shared" si="3"/>
        <v>186</v>
      </c>
      <c r="F16" s="443">
        <v>26</v>
      </c>
      <c r="G16" s="443">
        <v>14</v>
      </c>
      <c r="H16" s="283">
        <v>24</v>
      </c>
      <c r="I16" s="443">
        <v>12</v>
      </c>
      <c r="J16" s="443">
        <v>19</v>
      </c>
      <c r="K16" s="443">
        <v>20</v>
      </c>
      <c r="L16" s="443">
        <v>12</v>
      </c>
      <c r="M16" s="443">
        <v>11</v>
      </c>
      <c r="N16" s="443">
        <v>8</v>
      </c>
      <c r="O16" s="443">
        <v>14</v>
      </c>
      <c r="P16" s="443">
        <v>17</v>
      </c>
      <c r="Q16" s="443">
        <v>9</v>
      </c>
      <c r="R16" s="666">
        <f t="shared" si="4"/>
        <v>97.89473684210527</v>
      </c>
      <c r="T16" s="131"/>
      <c r="U16" s="132"/>
      <c r="V16" s="133"/>
      <c r="W16" s="134"/>
      <c r="X16" s="135"/>
      <c r="Y16" s="136"/>
      <c r="Z16" s="137"/>
      <c r="AA16" s="137"/>
      <c r="AB16" s="138"/>
      <c r="AC16" s="138"/>
      <c r="AD16" s="137"/>
      <c r="AE16" s="131"/>
      <c r="AF16" s="137"/>
      <c r="AG16" s="131"/>
      <c r="AH16" s="137"/>
    </row>
    <row r="17" spans="1:34" s="139" customFormat="1" ht="16.5" customHeight="1">
      <c r="A17" s="365"/>
      <c r="B17" s="366" t="s">
        <v>310</v>
      </c>
      <c r="C17" s="365" t="s">
        <v>272</v>
      </c>
      <c r="D17" s="460">
        <v>109</v>
      </c>
      <c r="E17" s="461">
        <f t="shared" si="3"/>
        <v>109</v>
      </c>
      <c r="F17" s="443">
        <v>15</v>
      </c>
      <c r="G17" s="443">
        <v>8</v>
      </c>
      <c r="H17" s="283">
        <v>9</v>
      </c>
      <c r="I17" s="443">
        <v>6</v>
      </c>
      <c r="J17" s="443">
        <v>9</v>
      </c>
      <c r="K17" s="443">
        <v>10</v>
      </c>
      <c r="L17" s="443">
        <v>9</v>
      </c>
      <c r="M17" s="443">
        <v>7</v>
      </c>
      <c r="N17" s="443">
        <v>5</v>
      </c>
      <c r="O17" s="443">
        <v>9</v>
      </c>
      <c r="P17" s="443">
        <v>15</v>
      </c>
      <c r="Q17" s="443">
        <v>7</v>
      </c>
      <c r="R17" s="739">
        <f t="shared" si="4"/>
        <v>100</v>
      </c>
      <c r="T17" s="131"/>
      <c r="U17" s="132"/>
      <c r="V17" s="133"/>
      <c r="W17" s="134"/>
      <c r="X17" s="135"/>
      <c r="Y17" s="136"/>
      <c r="Z17" s="137"/>
      <c r="AA17" s="137"/>
      <c r="AB17" s="138"/>
      <c r="AC17" s="138"/>
      <c r="AD17" s="137"/>
      <c r="AE17" s="131"/>
      <c r="AF17" s="137"/>
      <c r="AG17" s="131"/>
      <c r="AH17" s="137"/>
    </row>
    <row r="18" spans="1:34" s="118" customFormat="1" ht="21" customHeight="1">
      <c r="A18" s="361" t="s">
        <v>312</v>
      </c>
      <c r="B18" s="362" t="s">
        <v>313</v>
      </c>
      <c r="C18" s="361"/>
      <c r="D18" s="459"/>
      <c r="E18" s="384"/>
      <c r="F18" s="384"/>
      <c r="G18" s="385"/>
      <c r="H18" s="471"/>
      <c r="I18" s="385"/>
      <c r="J18" s="385"/>
      <c r="K18" s="385"/>
      <c r="L18" s="385"/>
      <c r="M18" s="385"/>
      <c r="N18" s="385"/>
      <c r="O18" s="385"/>
      <c r="P18" s="385"/>
      <c r="Q18" s="385"/>
      <c r="R18" s="515"/>
      <c r="T18" s="125"/>
      <c r="U18" s="126"/>
      <c r="V18" s="119"/>
      <c r="W18" s="127"/>
      <c r="X18" s="128"/>
      <c r="Y18" s="123"/>
      <c r="Z18" s="141"/>
      <c r="AA18" s="141"/>
      <c r="AB18" s="142"/>
      <c r="AC18" s="142"/>
      <c r="AD18" s="141"/>
      <c r="AE18" s="125"/>
      <c r="AF18" s="141"/>
      <c r="AG18" s="125"/>
      <c r="AH18" s="141"/>
    </row>
    <row r="19" spans="1:34" s="139" customFormat="1" ht="18.75" customHeight="1">
      <c r="A19" s="365"/>
      <c r="B19" s="366" t="s">
        <v>68</v>
      </c>
      <c r="C19" s="365" t="s">
        <v>12</v>
      </c>
      <c r="D19" s="468">
        <v>64.5</v>
      </c>
      <c r="E19" s="670">
        <v>64.4</v>
      </c>
      <c r="F19" s="468">
        <v>72.3</v>
      </c>
      <c r="G19" s="670">
        <v>68.1</v>
      </c>
      <c r="H19" s="671">
        <v>64.6</v>
      </c>
      <c r="I19" s="670">
        <v>67.2</v>
      </c>
      <c r="J19" s="670">
        <v>66.5</v>
      </c>
      <c r="K19" s="670">
        <v>52.3</v>
      </c>
      <c r="L19" s="672">
        <v>70</v>
      </c>
      <c r="M19" s="670">
        <v>62.3</v>
      </c>
      <c r="N19" s="670">
        <v>65.8</v>
      </c>
      <c r="O19" s="670">
        <v>63.4</v>
      </c>
      <c r="P19" s="672">
        <v>62</v>
      </c>
      <c r="Q19" s="670">
        <v>62.1</v>
      </c>
      <c r="R19" s="670">
        <f>E19-D19</f>
        <v>-0.09999999999999432</v>
      </c>
      <c r="T19" s="131"/>
      <c r="U19" s="132" t="s">
        <v>68</v>
      </c>
      <c r="V19" s="133" t="s">
        <v>12</v>
      </c>
      <c r="W19" s="143">
        <v>43.1</v>
      </c>
      <c r="X19" s="144">
        <v>44.97</v>
      </c>
      <c r="Y19" s="145">
        <f>Y9/78244*100</f>
        <v>44.910791881805636</v>
      </c>
      <c r="Z19" s="146">
        <v>72.4694761717211</v>
      </c>
      <c r="AA19" s="146">
        <v>55.474843248203086</v>
      </c>
      <c r="AB19" s="146">
        <v>38.200978547233724</v>
      </c>
      <c r="AC19" s="146">
        <v>66.92307692307692</v>
      </c>
      <c r="AD19" s="146">
        <v>44.38460003989627</v>
      </c>
      <c r="AE19" s="146">
        <v>30.963964706852476</v>
      </c>
      <c r="AF19" s="146">
        <v>49.14083828488839</v>
      </c>
      <c r="AG19" s="146">
        <v>46.13455164382334</v>
      </c>
      <c r="AH19" s="146">
        <v>33.19020540791458</v>
      </c>
    </row>
    <row r="20" spans="1:34" s="139" customFormat="1" ht="16.5" customHeight="1">
      <c r="A20" s="365"/>
      <c r="B20" s="366" t="s">
        <v>69</v>
      </c>
      <c r="C20" s="365" t="s">
        <v>12</v>
      </c>
      <c r="D20" s="368">
        <v>47</v>
      </c>
      <c r="E20" s="674">
        <v>45</v>
      </c>
      <c r="F20" s="469">
        <v>41.5</v>
      </c>
      <c r="G20" s="469">
        <v>41.1</v>
      </c>
      <c r="H20" s="675">
        <v>48</v>
      </c>
      <c r="I20" s="469">
        <v>48.3</v>
      </c>
      <c r="J20" s="469">
        <v>45.8</v>
      </c>
      <c r="K20" s="469">
        <v>40.3</v>
      </c>
      <c r="L20" s="469">
        <v>47.6</v>
      </c>
      <c r="M20" s="283">
        <v>48</v>
      </c>
      <c r="N20" s="469">
        <v>42.8</v>
      </c>
      <c r="O20" s="469">
        <v>47.2</v>
      </c>
      <c r="P20" s="469">
        <v>48.5</v>
      </c>
      <c r="Q20" s="469">
        <v>47.7</v>
      </c>
      <c r="R20" s="672">
        <f aca="true" t="shared" si="6" ref="R20:R25">E20-D20</f>
        <v>-2</v>
      </c>
      <c r="T20" s="131"/>
      <c r="U20" s="132" t="s">
        <v>69</v>
      </c>
      <c r="V20" s="133" t="s">
        <v>12</v>
      </c>
      <c r="W20" s="143">
        <v>48.3</v>
      </c>
      <c r="X20" s="144">
        <v>48.7</v>
      </c>
      <c r="Y20" s="145">
        <v>48.9</v>
      </c>
      <c r="Z20" s="146">
        <v>46.6</v>
      </c>
      <c r="AA20" s="146">
        <v>50.2</v>
      </c>
      <c r="AB20" s="146">
        <v>49.4</v>
      </c>
      <c r="AC20" s="146">
        <v>50.2</v>
      </c>
      <c r="AD20" s="146">
        <v>47.9</v>
      </c>
      <c r="AE20" s="146">
        <v>49.9</v>
      </c>
      <c r="AF20" s="146">
        <v>47.4</v>
      </c>
      <c r="AG20" s="146">
        <v>48.7</v>
      </c>
      <c r="AH20" s="146">
        <v>49.8</v>
      </c>
    </row>
    <row r="21" spans="1:34" s="139" customFormat="1" ht="16.5" customHeight="1">
      <c r="A21" s="365"/>
      <c r="B21" s="366" t="s">
        <v>70</v>
      </c>
      <c r="C21" s="365" t="s">
        <v>12</v>
      </c>
      <c r="D21" s="460">
        <v>9</v>
      </c>
      <c r="E21" s="677">
        <v>6.1</v>
      </c>
      <c r="F21" s="377">
        <v>1.5</v>
      </c>
      <c r="G21" s="377">
        <v>5.1</v>
      </c>
      <c r="H21" s="469">
        <v>6.5</v>
      </c>
      <c r="I21" s="377">
        <v>6.4</v>
      </c>
      <c r="J21" s="377">
        <v>6.2</v>
      </c>
      <c r="K21" s="377">
        <v>6.4</v>
      </c>
      <c r="L21" s="377">
        <v>6.6</v>
      </c>
      <c r="M21" s="377">
        <v>6.6</v>
      </c>
      <c r="N21" s="377">
        <v>6.5</v>
      </c>
      <c r="O21" s="377">
        <v>6.5</v>
      </c>
      <c r="P21" s="377">
        <v>6.5</v>
      </c>
      <c r="Q21" s="377">
        <v>6.7</v>
      </c>
      <c r="R21" s="670">
        <f t="shared" si="6"/>
        <v>-2.9000000000000004</v>
      </c>
      <c r="T21" s="147"/>
      <c r="U21" s="148" t="s">
        <v>70</v>
      </c>
      <c r="V21" s="149" t="s">
        <v>12</v>
      </c>
      <c r="W21" s="143">
        <v>5.8</v>
      </c>
      <c r="X21" s="144">
        <v>5.5</v>
      </c>
      <c r="Y21" s="145">
        <v>5.2</v>
      </c>
      <c r="Z21" s="150">
        <v>4.1</v>
      </c>
      <c r="AA21" s="151">
        <v>5.1</v>
      </c>
      <c r="AB21" s="152">
        <v>6.1</v>
      </c>
      <c r="AC21" s="152">
        <v>4.1</v>
      </c>
      <c r="AD21" s="151">
        <v>5.7</v>
      </c>
      <c r="AE21" s="147">
        <v>6.4</v>
      </c>
      <c r="AF21" s="151">
        <v>5.3</v>
      </c>
      <c r="AG21" s="147">
        <v>5.4</v>
      </c>
      <c r="AH21" s="151">
        <v>6.2</v>
      </c>
    </row>
    <row r="22" spans="1:34" s="139" customFormat="1" ht="16.5" customHeight="1">
      <c r="A22" s="365"/>
      <c r="B22" s="367" t="s">
        <v>71</v>
      </c>
      <c r="C22" s="365" t="s">
        <v>12</v>
      </c>
      <c r="D22" s="460">
        <v>11</v>
      </c>
      <c r="E22" s="677">
        <v>6.4</v>
      </c>
      <c r="F22" s="377">
        <v>2.2</v>
      </c>
      <c r="G22" s="377">
        <v>5.4</v>
      </c>
      <c r="H22" s="469">
        <v>6.4</v>
      </c>
      <c r="I22" s="377">
        <v>6.9</v>
      </c>
      <c r="J22" s="377">
        <v>6.6</v>
      </c>
      <c r="K22" s="377">
        <v>6.8</v>
      </c>
      <c r="L22" s="377">
        <v>5.7</v>
      </c>
      <c r="M22" s="443">
        <v>7</v>
      </c>
      <c r="N22" s="377">
        <v>5.4</v>
      </c>
      <c r="O22" s="377">
        <v>6.3</v>
      </c>
      <c r="P22" s="377">
        <v>6.5</v>
      </c>
      <c r="Q22" s="377">
        <v>5.9</v>
      </c>
      <c r="R22" s="670">
        <f t="shared" si="6"/>
        <v>-4.6</v>
      </c>
      <c r="T22" s="147"/>
      <c r="U22" s="148" t="s">
        <v>71</v>
      </c>
      <c r="V22" s="149" t="s">
        <v>12</v>
      </c>
      <c r="W22" s="143">
        <v>6.2</v>
      </c>
      <c r="X22" s="144">
        <v>6</v>
      </c>
      <c r="Y22" s="145">
        <v>5.8</v>
      </c>
      <c r="Z22" s="150">
        <v>4.5</v>
      </c>
      <c r="AA22" s="151">
        <v>5.5</v>
      </c>
      <c r="AB22" s="152">
        <v>6.5</v>
      </c>
      <c r="AC22" s="152">
        <v>4.4</v>
      </c>
      <c r="AD22" s="151">
        <v>6.4</v>
      </c>
      <c r="AE22" s="147">
        <v>6.9</v>
      </c>
      <c r="AF22" s="151">
        <v>5.8</v>
      </c>
      <c r="AG22" s="147">
        <v>6.1</v>
      </c>
      <c r="AH22" s="151">
        <v>6.8</v>
      </c>
    </row>
    <row r="23" spans="1:34" s="139" customFormat="1" ht="16.5" customHeight="1">
      <c r="A23" s="365"/>
      <c r="B23" s="366" t="s">
        <v>671</v>
      </c>
      <c r="C23" s="365" t="s">
        <v>12</v>
      </c>
      <c r="D23" s="463">
        <v>21.1</v>
      </c>
      <c r="E23" s="456">
        <v>23.2</v>
      </c>
      <c r="F23" s="377">
        <v>39.4</v>
      </c>
      <c r="G23" s="377">
        <v>32.6</v>
      </c>
      <c r="H23" s="469">
        <v>23.8</v>
      </c>
      <c r="I23" s="377">
        <v>27.1</v>
      </c>
      <c r="J23" s="377">
        <v>23.8</v>
      </c>
      <c r="K23" s="377">
        <v>4.5</v>
      </c>
      <c r="L23" s="377">
        <v>29.6</v>
      </c>
      <c r="M23" s="377">
        <v>19.1</v>
      </c>
      <c r="N23" s="377">
        <v>29.8</v>
      </c>
      <c r="O23" s="377">
        <v>21.1</v>
      </c>
      <c r="P23" s="377">
        <v>13.7</v>
      </c>
      <c r="Q23" s="377">
        <v>21.5</v>
      </c>
      <c r="R23" s="670">
        <f t="shared" si="6"/>
        <v>2.099999999999998</v>
      </c>
      <c r="T23" s="131"/>
      <c r="U23" s="132" t="s">
        <v>72</v>
      </c>
      <c r="V23" s="133" t="s">
        <v>12</v>
      </c>
      <c r="W23" s="143">
        <v>8.5</v>
      </c>
      <c r="X23" s="144">
        <v>8.6</v>
      </c>
      <c r="Y23" s="145">
        <v>9.1</v>
      </c>
      <c r="Z23" s="146">
        <v>30.450506065023603</v>
      </c>
      <c r="AA23" s="146">
        <v>14.176611347974358</v>
      </c>
      <c r="AB23" s="146">
        <v>1.9830812941514846</v>
      </c>
      <c r="AC23" s="146">
        <v>43.48915360882359</v>
      </c>
      <c r="AD23" s="146">
        <v>6.647784465758712</v>
      </c>
      <c r="AE23" s="146">
        <v>1.969772023720938</v>
      </c>
      <c r="AF23" s="146">
        <v>4.951912277673531</v>
      </c>
      <c r="AG23" s="146">
        <v>3.499127301859369</v>
      </c>
      <c r="AH23" s="146">
        <v>3.63722441367727</v>
      </c>
    </row>
    <row r="24" spans="1:34" s="139" customFormat="1" ht="18" customHeight="1">
      <c r="A24" s="365"/>
      <c r="B24" s="369" t="s">
        <v>187</v>
      </c>
      <c r="C24" s="365" t="s">
        <v>12</v>
      </c>
      <c r="D24" s="441">
        <v>99</v>
      </c>
      <c r="E24" s="451">
        <v>99.98</v>
      </c>
      <c r="F24" s="443">
        <v>100</v>
      </c>
      <c r="G24" s="443">
        <v>100</v>
      </c>
      <c r="H24" s="283">
        <v>100</v>
      </c>
      <c r="I24" s="443">
        <v>100</v>
      </c>
      <c r="J24" s="377">
        <v>99.8</v>
      </c>
      <c r="K24" s="443">
        <v>100</v>
      </c>
      <c r="L24" s="443">
        <v>100</v>
      </c>
      <c r="M24" s="443">
        <v>100</v>
      </c>
      <c r="N24" s="443">
        <v>100</v>
      </c>
      <c r="O24" s="443">
        <v>100</v>
      </c>
      <c r="P24" s="443">
        <v>100</v>
      </c>
      <c r="Q24" s="443">
        <v>100</v>
      </c>
      <c r="R24" s="672">
        <f t="shared" si="6"/>
        <v>0.980000000000004</v>
      </c>
      <c r="S24" s="153"/>
      <c r="T24" s="131"/>
      <c r="U24" s="154" t="s">
        <v>73</v>
      </c>
      <c r="V24" s="133" t="s">
        <v>12</v>
      </c>
      <c r="W24" s="143">
        <v>82.2</v>
      </c>
      <c r="X24" s="144">
        <v>80.8</v>
      </c>
      <c r="Y24" s="145">
        <v>84.5</v>
      </c>
      <c r="Z24" s="146">
        <v>99.1</v>
      </c>
      <c r="AA24" s="146">
        <v>98.86734433962977</v>
      </c>
      <c r="AB24" s="146">
        <v>77.73375912570897</v>
      </c>
      <c r="AC24" s="146">
        <v>93.5802751148903</v>
      </c>
      <c r="AD24" s="146">
        <v>86.10380053272002</v>
      </c>
      <c r="AE24" s="146">
        <v>60.22735352683257</v>
      </c>
      <c r="AF24" s="146">
        <v>96.78796701231303</v>
      </c>
      <c r="AG24" s="146">
        <v>90.87023493668164</v>
      </c>
      <c r="AH24" s="146">
        <v>64.00168182690193</v>
      </c>
    </row>
    <row r="25" spans="1:34" s="139" customFormat="1" ht="16.5" customHeight="1">
      <c r="A25" s="365"/>
      <c r="B25" s="369" t="s">
        <v>188</v>
      </c>
      <c r="C25" s="365" t="s">
        <v>12</v>
      </c>
      <c r="D25" s="451">
        <v>99.88</v>
      </c>
      <c r="E25" s="456">
        <v>99.9</v>
      </c>
      <c r="F25" s="443">
        <v>100</v>
      </c>
      <c r="G25" s="443">
        <v>100</v>
      </c>
      <c r="H25" s="283">
        <v>100</v>
      </c>
      <c r="I25" s="443">
        <v>100</v>
      </c>
      <c r="J25" s="377">
        <v>99.4</v>
      </c>
      <c r="K25" s="443">
        <v>100</v>
      </c>
      <c r="L25" s="443">
        <v>100</v>
      </c>
      <c r="M25" s="443">
        <v>100</v>
      </c>
      <c r="N25" s="443">
        <v>100</v>
      </c>
      <c r="O25" s="443">
        <v>100</v>
      </c>
      <c r="P25" s="443">
        <v>100</v>
      </c>
      <c r="Q25" s="443">
        <v>100</v>
      </c>
      <c r="R25" s="740">
        <f t="shared" si="6"/>
        <v>0.020000000000010232</v>
      </c>
      <c r="S25" s="140"/>
      <c r="T25" s="131"/>
      <c r="U25" s="154" t="s">
        <v>74</v>
      </c>
      <c r="V25" s="133" t="s">
        <v>12</v>
      </c>
      <c r="W25" s="143">
        <v>95</v>
      </c>
      <c r="X25" s="144">
        <v>95.8</v>
      </c>
      <c r="Y25" s="145">
        <v>96.8</v>
      </c>
      <c r="Z25" s="146">
        <v>100</v>
      </c>
      <c r="AA25" s="146">
        <v>99.01960784313727</v>
      </c>
      <c r="AB25" s="146">
        <v>98.78419452887537</v>
      </c>
      <c r="AC25" s="146">
        <v>99.44444444444444</v>
      </c>
      <c r="AD25" s="146">
        <v>92.05057949352052</v>
      </c>
      <c r="AE25" s="146">
        <v>89.30389117412443</v>
      </c>
      <c r="AF25" s="146">
        <v>99.7883597883598</v>
      </c>
      <c r="AG25" s="146">
        <v>98.36702931895786</v>
      </c>
      <c r="AH25" s="146">
        <v>92.93278473176775</v>
      </c>
    </row>
    <row r="26" spans="1:34" s="158" customFormat="1" ht="18.75" customHeight="1">
      <c r="A26" s="361">
        <v>2</v>
      </c>
      <c r="B26" s="363" t="s">
        <v>75</v>
      </c>
      <c r="C26" s="361"/>
      <c r="D26" s="459"/>
      <c r="E26" s="384"/>
      <c r="F26" s="384"/>
      <c r="G26" s="385"/>
      <c r="H26" s="471"/>
      <c r="I26" s="385"/>
      <c r="J26" s="385"/>
      <c r="K26" s="385"/>
      <c r="L26" s="385"/>
      <c r="M26" s="385"/>
      <c r="N26" s="385"/>
      <c r="O26" s="385"/>
      <c r="P26" s="385"/>
      <c r="Q26" s="385"/>
      <c r="R26" s="515"/>
      <c r="S26" s="155"/>
      <c r="T26" s="119">
        <v>2</v>
      </c>
      <c r="U26" s="126" t="s">
        <v>75</v>
      </c>
      <c r="V26" s="119" t="s">
        <v>61</v>
      </c>
      <c r="W26" s="156">
        <f>W35+W43+W51</f>
        <v>52393</v>
      </c>
      <c r="X26" s="157">
        <f>X35+X43+X51</f>
        <v>51873</v>
      </c>
      <c r="Y26" s="123">
        <f>SUM(Z26:AH26)</f>
        <v>53474</v>
      </c>
      <c r="Z26" s="141">
        <f aca="true" t="shared" si="7" ref="Z26:AH26">Z35+Z43+Z51</f>
        <v>6380</v>
      </c>
      <c r="AA26" s="141">
        <f t="shared" si="7"/>
        <v>10634</v>
      </c>
      <c r="AB26" s="141">
        <f t="shared" si="7"/>
        <v>6150</v>
      </c>
      <c r="AC26" s="141">
        <f t="shared" si="7"/>
        <v>950</v>
      </c>
      <c r="AD26" s="141">
        <f t="shared" si="7"/>
        <v>5750</v>
      </c>
      <c r="AE26" s="141">
        <f t="shared" si="7"/>
        <v>6260</v>
      </c>
      <c r="AF26" s="141">
        <f t="shared" si="7"/>
        <v>5250</v>
      </c>
      <c r="AG26" s="141">
        <f t="shared" si="7"/>
        <v>7950</v>
      </c>
      <c r="AH26" s="141">
        <f t="shared" si="7"/>
        <v>4150</v>
      </c>
    </row>
    <row r="27" spans="1:34" s="158" customFormat="1" ht="18.75" customHeight="1">
      <c r="A27" s="361" t="s">
        <v>314</v>
      </c>
      <c r="B27" s="362" t="s">
        <v>315</v>
      </c>
      <c r="C27" s="361" t="s">
        <v>583</v>
      </c>
      <c r="D27" s="364">
        <v>14351</v>
      </c>
      <c r="E27" s="364">
        <f>E35+E43+E51+E60</f>
        <v>15450</v>
      </c>
      <c r="F27" s="364">
        <f aca="true" t="shared" si="8" ref="F27:Q27">F35+F43+F51</f>
        <v>2787</v>
      </c>
      <c r="G27" s="364">
        <f t="shared" si="8"/>
        <v>1469</v>
      </c>
      <c r="H27" s="471">
        <f t="shared" si="8"/>
        <v>1995</v>
      </c>
      <c r="I27" s="364">
        <f t="shared" si="8"/>
        <v>853</v>
      </c>
      <c r="J27" s="364">
        <f t="shared" si="8"/>
        <v>1360</v>
      </c>
      <c r="K27" s="364">
        <f t="shared" si="8"/>
        <v>1428</v>
      </c>
      <c r="L27" s="364">
        <f t="shared" si="8"/>
        <v>889</v>
      </c>
      <c r="M27" s="364">
        <f t="shared" si="8"/>
        <v>903</v>
      </c>
      <c r="N27" s="364">
        <f t="shared" si="8"/>
        <v>629</v>
      </c>
      <c r="O27" s="364">
        <f t="shared" si="8"/>
        <v>1250</v>
      </c>
      <c r="P27" s="364">
        <f t="shared" si="8"/>
        <v>1167</v>
      </c>
      <c r="Q27" s="364">
        <f t="shared" si="8"/>
        <v>560</v>
      </c>
      <c r="R27" s="664">
        <f>E27/D27*100</f>
        <v>107.65800292662533</v>
      </c>
      <c r="S27" s="155"/>
      <c r="T27" s="119"/>
      <c r="U27" s="126"/>
      <c r="V27" s="119"/>
      <c r="W27" s="156"/>
      <c r="X27" s="157"/>
      <c r="Y27" s="123"/>
      <c r="Z27" s="141"/>
      <c r="AA27" s="141"/>
      <c r="AB27" s="141"/>
      <c r="AC27" s="141"/>
      <c r="AD27" s="141"/>
      <c r="AE27" s="141"/>
      <c r="AF27" s="141"/>
      <c r="AG27" s="141"/>
      <c r="AH27" s="141"/>
    </row>
    <row r="28" spans="1:34" s="159" customFormat="1" ht="16.5" customHeight="1">
      <c r="A28" s="149"/>
      <c r="B28" s="367" t="s">
        <v>76</v>
      </c>
      <c r="C28" s="370" t="s">
        <v>583</v>
      </c>
      <c r="D28" s="460">
        <v>8203</v>
      </c>
      <c r="E28" s="461">
        <f>SUM(F28:Q28)</f>
        <v>8504</v>
      </c>
      <c r="F28" s="461">
        <f aca="true" t="shared" si="9" ref="F28:Q28">F36+F44+F54</f>
        <v>783</v>
      </c>
      <c r="G28" s="460">
        <f t="shared" si="9"/>
        <v>1028</v>
      </c>
      <c r="H28" s="368">
        <f t="shared" si="9"/>
        <v>937</v>
      </c>
      <c r="I28" s="460">
        <f t="shared" si="9"/>
        <v>431</v>
      </c>
      <c r="J28" s="460">
        <f t="shared" si="9"/>
        <v>810</v>
      </c>
      <c r="K28" s="460">
        <f t="shared" si="9"/>
        <v>884</v>
      </c>
      <c r="L28" s="460">
        <f t="shared" si="9"/>
        <v>644</v>
      </c>
      <c r="M28" s="460">
        <f t="shared" si="9"/>
        <v>483</v>
      </c>
      <c r="N28" s="460">
        <f t="shared" si="9"/>
        <v>354</v>
      </c>
      <c r="O28" s="460">
        <f t="shared" si="9"/>
        <v>974</v>
      </c>
      <c r="P28" s="460">
        <f t="shared" si="9"/>
        <v>878</v>
      </c>
      <c r="Q28" s="460">
        <f t="shared" si="9"/>
        <v>298</v>
      </c>
      <c r="R28" s="741">
        <f>E28/D28*100</f>
        <v>103.66938924783615</v>
      </c>
      <c r="S28" s="140"/>
      <c r="T28" s="119"/>
      <c r="U28" s="126"/>
      <c r="V28" s="133"/>
      <c r="W28" s="156"/>
      <c r="X28" s="157"/>
      <c r="Y28" s="123"/>
      <c r="Z28" s="141"/>
      <c r="AA28" s="141"/>
      <c r="AB28" s="141"/>
      <c r="AC28" s="141"/>
      <c r="AD28" s="141"/>
      <c r="AE28" s="141"/>
      <c r="AF28" s="141"/>
      <c r="AG28" s="141"/>
      <c r="AH28" s="141"/>
    </row>
    <row r="29" spans="1:34" s="158" customFormat="1" ht="18.75" customHeight="1">
      <c r="A29" s="361" t="s">
        <v>119</v>
      </c>
      <c r="B29" s="362" t="s">
        <v>316</v>
      </c>
      <c r="C29" s="361" t="s">
        <v>272</v>
      </c>
      <c r="D29" s="364">
        <v>463</v>
      </c>
      <c r="E29" s="364">
        <f>SUM(F29:Q29)</f>
        <v>480</v>
      </c>
      <c r="F29" s="364">
        <f>F37+F45+F53</f>
        <v>85</v>
      </c>
      <c r="G29" s="364">
        <f aca="true" t="shared" si="10" ref="G29:Q29">G37+G45+G53</f>
        <v>42</v>
      </c>
      <c r="H29" s="471">
        <f t="shared" si="10"/>
        <v>64</v>
      </c>
      <c r="I29" s="364">
        <f t="shared" si="10"/>
        <v>27</v>
      </c>
      <c r="J29" s="364">
        <f t="shared" si="10"/>
        <v>42</v>
      </c>
      <c r="K29" s="364">
        <f t="shared" si="10"/>
        <v>49</v>
      </c>
      <c r="L29" s="364">
        <f t="shared" si="10"/>
        <v>28</v>
      </c>
      <c r="M29" s="364">
        <f t="shared" si="10"/>
        <v>27</v>
      </c>
      <c r="N29" s="364">
        <f t="shared" si="10"/>
        <v>22</v>
      </c>
      <c r="O29" s="364">
        <f t="shared" si="10"/>
        <v>37</v>
      </c>
      <c r="P29" s="364">
        <f t="shared" si="10"/>
        <v>36</v>
      </c>
      <c r="Q29" s="364">
        <f t="shared" si="10"/>
        <v>21</v>
      </c>
      <c r="R29" s="664">
        <f>E29/D29*100</f>
        <v>103.67170626349893</v>
      </c>
      <c r="S29" s="155"/>
      <c r="T29" s="119"/>
      <c r="U29" s="126"/>
      <c r="V29" s="119"/>
      <c r="W29" s="156"/>
      <c r="X29" s="157"/>
      <c r="Y29" s="123"/>
      <c r="Z29" s="141"/>
      <c r="AA29" s="141"/>
      <c r="AB29" s="141"/>
      <c r="AC29" s="141"/>
      <c r="AD29" s="141"/>
      <c r="AE29" s="141"/>
      <c r="AF29" s="141"/>
      <c r="AG29" s="141"/>
      <c r="AH29" s="141"/>
    </row>
    <row r="30" spans="1:34" s="158" customFormat="1" ht="18.75" customHeight="1">
      <c r="A30" s="361" t="s">
        <v>124</v>
      </c>
      <c r="B30" s="362" t="s">
        <v>313</v>
      </c>
      <c r="C30" s="361"/>
      <c r="D30" s="459"/>
      <c r="E30" s="458"/>
      <c r="F30" s="464"/>
      <c r="G30" s="464"/>
      <c r="H30" s="382"/>
      <c r="I30" s="464"/>
      <c r="J30" s="464"/>
      <c r="K30" s="464"/>
      <c r="L30" s="464"/>
      <c r="M30" s="464"/>
      <c r="N30" s="464"/>
      <c r="O30" s="464"/>
      <c r="P30" s="464"/>
      <c r="Q30" s="464"/>
      <c r="R30" s="515"/>
      <c r="S30" s="155"/>
      <c r="T30" s="119"/>
      <c r="U30" s="126"/>
      <c r="V30" s="119"/>
      <c r="W30" s="156"/>
      <c r="X30" s="157"/>
      <c r="Y30" s="123"/>
      <c r="Z30" s="141"/>
      <c r="AA30" s="141"/>
      <c r="AB30" s="141"/>
      <c r="AC30" s="141"/>
      <c r="AD30" s="141"/>
      <c r="AE30" s="141"/>
      <c r="AF30" s="141"/>
      <c r="AG30" s="141"/>
      <c r="AH30" s="141"/>
    </row>
    <row r="31" spans="1:34" s="159" customFormat="1" ht="16.5" customHeight="1">
      <c r="A31" s="361"/>
      <c r="B31" s="367" t="s">
        <v>77</v>
      </c>
      <c r="C31" s="365" t="s">
        <v>12</v>
      </c>
      <c r="D31" s="456">
        <v>41.8</v>
      </c>
      <c r="E31" s="456">
        <v>48.1</v>
      </c>
      <c r="F31" s="150">
        <v>48.6</v>
      </c>
      <c r="G31" s="150">
        <v>49.7</v>
      </c>
      <c r="H31" s="151">
        <v>49.3</v>
      </c>
      <c r="I31" s="150">
        <v>47.1</v>
      </c>
      <c r="J31" s="150">
        <v>48.2</v>
      </c>
      <c r="K31" s="292">
        <v>48</v>
      </c>
      <c r="L31" s="150">
        <v>50.8</v>
      </c>
      <c r="M31" s="150">
        <v>47.4</v>
      </c>
      <c r="N31" s="150">
        <v>50.6</v>
      </c>
      <c r="O31" s="150">
        <v>45.1</v>
      </c>
      <c r="P31" s="150">
        <v>44.4</v>
      </c>
      <c r="Q31" s="150">
        <v>50.5</v>
      </c>
      <c r="R31" s="514"/>
      <c r="S31" s="140"/>
      <c r="T31" s="160"/>
      <c r="U31" s="132" t="s">
        <v>78</v>
      </c>
      <c r="V31" s="160" t="s">
        <v>12</v>
      </c>
      <c r="W31" s="143">
        <f aca="true" t="shared" si="11" ref="W31:AH31">(W40+W48+W57)/3</f>
        <v>43.166666666666664</v>
      </c>
      <c r="X31" s="144" t="e">
        <f t="shared" si="11"/>
        <v>#DIV/0!</v>
      </c>
      <c r="Y31" s="161">
        <f t="shared" si="11"/>
        <v>44.07170929283334</v>
      </c>
      <c r="Z31" s="162">
        <f t="shared" si="11"/>
        <v>48.60919281031013</v>
      </c>
      <c r="AA31" s="162">
        <f t="shared" si="11"/>
        <v>45.43193523049036</v>
      </c>
      <c r="AB31" s="162">
        <f t="shared" si="11"/>
        <v>37.04237822987823</v>
      </c>
      <c r="AC31" s="162">
        <f t="shared" si="11"/>
        <v>51.90864527629233</v>
      </c>
      <c r="AD31" s="162">
        <f t="shared" si="11"/>
        <v>36.3155673599119</v>
      </c>
      <c r="AE31" s="162">
        <f t="shared" si="11"/>
        <v>35.32663514452784</v>
      </c>
      <c r="AF31" s="162">
        <f t="shared" si="11"/>
        <v>44.29290155462143</v>
      </c>
      <c r="AG31" s="162">
        <f t="shared" si="11"/>
        <v>45.792111823361815</v>
      </c>
      <c r="AH31" s="162">
        <f t="shared" si="11"/>
        <v>32.362037166736705</v>
      </c>
    </row>
    <row r="32" spans="1:34" s="159" customFormat="1" ht="16.5" customHeight="1">
      <c r="A32" s="361"/>
      <c r="B32" s="367" t="s">
        <v>79</v>
      </c>
      <c r="C32" s="365" t="s">
        <v>12</v>
      </c>
      <c r="D32" s="463">
        <v>95.7</v>
      </c>
      <c r="E32" s="456">
        <v>98.7</v>
      </c>
      <c r="F32" s="150">
        <v>99.7</v>
      </c>
      <c r="G32" s="150">
        <v>97.4</v>
      </c>
      <c r="H32" s="151">
        <v>98.6</v>
      </c>
      <c r="I32" s="150">
        <v>98.8</v>
      </c>
      <c r="J32" s="292">
        <v>99</v>
      </c>
      <c r="K32" s="292">
        <v>99</v>
      </c>
      <c r="L32" s="150">
        <v>99.2</v>
      </c>
      <c r="M32" s="150">
        <v>99.5</v>
      </c>
      <c r="N32" s="150">
        <v>98.3</v>
      </c>
      <c r="O32" s="150">
        <v>98.1</v>
      </c>
      <c r="P32" s="150">
        <v>98.9</v>
      </c>
      <c r="Q32" s="150">
        <v>97.4</v>
      </c>
      <c r="R32" s="676">
        <f>E32-D32</f>
        <v>3</v>
      </c>
      <c r="S32" s="140"/>
      <c r="T32" s="160"/>
      <c r="U32" s="132" t="s">
        <v>79</v>
      </c>
      <c r="V32" s="160" t="s">
        <v>12</v>
      </c>
      <c r="W32" s="143">
        <f>(W39+W47+W56)/3</f>
        <v>79.53333333333335</v>
      </c>
      <c r="X32" s="144">
        <v>79.6</v>
      </c>
      <c r="Y32" s="145">
        <f>SUM(Z32:AH32)/9</f>
        <v>79.80148148148149</v>
      </c>
      <c r="Z32" s="162">
        <f aca="true" t="shared" si="12" ref="Z32:AH32">(Z39+Z47+Z56)/3</f>
        <v>95.83333333333333</v>
      </c>
      <c r="AA32" s="162">
        <f t="shared" si="12"/>
        <v>78.73333333333333</v>
      </c>
      <c r="AB32" s="162">
        <f t="shared" si="12"/>
        <v>79.5</v>
      </c>
      <c r="AC32" s="162">
        <f t="shared" si="12"/>
        <v>88.53333333333335</v>
      </c>
      <c r="AD32" s="162">
        <f t="shared" si="12"/>
        <v>74.03333333333333</v>
      </c>
      <c r="AE32" s="162">
        <f t="shared" si="12"/>
        <v>69.60000000000001</v>
      </c>
      <c r="AF32" s="162">
        <f t="shared" si="12"/>
        <v>82.94666666666667</v>
      </c>
      <c r="AG32" s="162">
        <f t="shared" si="12"/>
        <v>77.8</v>
      </c>
      <c r="AH32" s="162">
        <f t="shared" si="12"/>
        <v>71.23333333333333</v>
      </c>
    </row>
    <row r="33" spans="1:34" s="159" customFormat="1" ht="16.5" customHeight="1">
      <c r="A33" s="361"/>
      <c r="B33" s="367" t="s">
        <v>80</v>
      </c>
      <c r="C33" s="365" t="s">
        <v>12</v>
      </c>
      <c r="D33" s="463"/>
      <c r="E33" s="152">
        <v>0.2</v>
      </c>
      <c r="F33" s="152"/>
      <c r="G33" s="152"/>
      <c r="H33" s="152">
        <v>0.3</v>
      </c>
      <c r="I33" s="152">
        <v>0.1</v>
      </c>
      <c r="J33" s="152">
        <v>0.1</v>
      </c>
      <c r="K33" s="152">
        <f>2/K27%</f>
        <v>0.1400560224089636</v>
      </c>
      <c r="L33" s="152"/>
      <c r="M33" s="152">
        <v>0.6</v>
      </c>
      <c r="N33" s="152"/>
      <c r="O33" s="152">
        <v>0.1</v>
      </c>
      <c r="P33" s="152">
        <v>0.1</v>
      </c>
      <c r="Q33" s="150">
        <v>0.4</v>
      </c>
      <c r="R33" s="673"/>
      <c r="S33" s="140"/>
      <c r="T33" s="160"/>
      <c r="U33" s="132" t="s">
        <v>80</v>
      </c>
      <c r="V33" s="160" t="s">
        <v>12</v>
      </c>
      <c r="W33" s="143">
        <f>(W41+W49+W58)/3</f>
        <v>2.1</v>
      </c>
      <c r="X33" s="144">
        <f>(X41+X49+X58)/3</f>
        <v>1.8933333333333333</v>
      </c>
      <c r="Y33" s="145">
        <f>SUM(Z33:AH33)/9</f>
        <v>1.7337777777777774</v>
      </c>
      <c r="Z33" s="162">
        <f aca="true" t="shared" si="13" ref="Z33:AH33">(Z41+Z49+Z58)/3</f>
        <v>0.6666666666666666</v>
      </c>
      <c r="AA33" s="162">
        <f t="shared" si="13"/>
        <v>1.2333333333333334</v>
      </c>
      <c r="AB33" s="162">
        <f t="shared" si="13"/>
        <v>1.8373333333333333</v>
      </c>
      <c r="AC33" s="162">
        <f t="shared" si="13"/>
        <v>2.7999999999999994</v>
      </c>
      <c r="AD33" s="162">
        <f t="shared" si="13"/>
        <v>1.3</v>
      </c>
      <c r="AE33" s="162">
        <f t="shared" si="13"/>
        <v>2.733333333333333</v>
      </c>
      <c r="AF33" s="162">
        <f t="shared" si="13"/>
        <v>1.7</v>
      </c>
      <c r="AG33" s="162">
        <f t="shared" si="13"/>
        <v>1.6333333333333335</v>
      </c>
      <c r="AH33" s="162">
        <f t="shared" si="13"/>
        <v>1.7</v>
      </c>
    </row>
    <row r="34" spans="1:34" s="159" customFormat="1" ht="20.25" customHeight="1">
      <c r="A34" s="361"/>
      <c r="B34" s="367" t="s">
        <v>81</v>
      </c>
      <c r="C34" s="365" t="s">
        <v>12</v>
      </c>
      <c r="D34" s="463"/>
      <c r="E34" s="152"/>
      <c r="F34" s="152"/>
      <c r="G34" s="152"/>
      <c r="H34" s="152"/>
      <c r="I34" s="152"/>
      <c r="J34" s="152"/>
      <c r="K34" s="152"/>
      <c r="L34" s="152"/>
      <c r="M34" s="152"/>
      <c r="N34" s="152"/>
      <c r="O34" s="152"/>
      <c r="P34" s="152"/>
      <c r="Q34" s="150"/>
      <c r="R34" s="673"/>
      <c r="S34" s="140"/>
      <c r="T34" s="160"/>
      <c r="U34" s="132" t="s">
        <v>82</v>
      </c>
      <c r="V34" s="160" t="s">
        <v>12</v>
      </c>
      <c r="W34" s="143">
        <f>(W42+W50+W59)/3</f>
        <v>1.866666666666667</v>
      </c>
      <c r="X34" s="144">
        <f>(X42+X50+X59)/3</f>
        <v>1.8333333333333333</v>
      </c>
      <c r="Y34" s="145">
        <f>SUM(Z34:AH34)/9</f>
        <v>1.8077777777777777</v>
      </c>
      <c r="Z34" s="162">
        <f aca="true" t="shared" si="14" ref="Z34:AH34">(Z42+Z50+Z59)/3</f>
        <v>1.0333333333333334</v>
      </c>
      <c r="AA34" s="162">
        <f t="shared" si="14"/>
        <v>1.5999999999999999</v>
      </c>
      <c r="AB34" s="162">
        <f t="shared" si="14"/>
        <v>2.32</v>
      </c>
      <c r="AC34" s="162">
        <f t="shared" si="14"/>
        <v>1.8333333333333333</v>
      </c>
      <c r="AD34" s="162">
        <f t="shared" si="14"/>
        <v>1.5833333333333333</v>
      </c>
      <c r="AE34" s="162">
        <f t="shared" si="14"/>
        <v>2.183333333333333</v>
      </c>
      <c r="AF34" s="162">
        <f t="shared" si="14"/>
        <v>1.9833333333333334</v>
      </c>
      <c r="AG34" s="162">
        <f t="shared" si="14"/>
        <v>1.75</v>
      </c>
      <c r="AH34" s="162">
        <f t="shared" si="14"/>
        <v>1.9833333333333334</v>
      </c>
    </row>
    <row r="35" spans="1:37" s="168" customFormat="1" ht="18.75" customHeight="1">
      <c r="A35" s="371" t="s">
        <v>193</v>
      </c>
      <c r="B35" s="372" t="s">
        <v>83</v>
      </c>
      <c r="C35" s="361" t="s">
        <v>583</v>
      </c>
      <c r="D35" s="384">
        <v>7867</v>
      </c>
      <c r="E35" s="384">
        <f>SUM(F35:Q35)</f>
        <v>8230</v>
      </c>
      <c r="F35" s="447">
        <v>1158</v>
      </c>
      <c r="G35" s="447">
        <v>639</v>
      </c>
      <c r="H35" s="678">
        <v>1090</v>
      </c>
      <c r="I35" s="447">
        <v>500</v>
      </c>
      <c r="J35" s="447">
        <v>831</v>
      </c>
      <c r="K35" s="447">
        <v>924</v>
      </c>
      <c r="L35" s="447">
        <v>548</v>
      </c>
      <c r="M35" s="447">
        <v>554</v>
      </c>
      <c r="N35" s="447">
        <v>369</v>
      </c>
      <c r="O35" s="447">
        <v>580</v>
      </c>
      <c r="P35" s="447">
        <v>686</v>
      </c>
      <c r="Q35" s="447">
        <v>351</v>
      </c>
      <c r="R35" s="664">
        <f>E35/D35*100</f>
        <v>104.61421126223465</v>
      </c>
      <c r="S35" s="163"/>
      <c r="T35" s="164"/>
      <c r="U35" s="165"/>
      <c r="V35" s="119"/>
      <c r="W35" s="166"/>
      <c r="X35" s="167"/>
      <c r="Y35" s="124"/>
      <c r="Z35" s="141"/>
      <c r="AA35" s="141"/>
      <c r="AB35" s="142"/>
      <c r="AC35" s="142"/>
      <c r="AD35" s="141"/>
      <c r="AE35" s="125"/>
      <c r="AF35" s="141"/>
      <c r="AG35" s="125"/>
      <c r="AH35" s="141"/>
      <c r="AK35" s="163"/>
    </row>
    <row r="36" spans="1:34" s="118" customFormat="1" ht="16.5" customHeight="1">
      <c r="A36" s="149"/>
      <c r="B36" s="367" t="s">
        <v>76</v>
      </c>
      <c r="C36" s="365" t="s">
        <v>583</v>
      </c>
      <c r="D36" s="443">
        <v>3776</v>
      </c>
      <c r="E36" s="443">
        <f>SUM(F36:Q36)</f>
        <v>4012</v>
      </c>
      <c r="F36" s="443">
        <v>163</v>
      </c>
      <c r="G36" s="443">
        <v>456</v>
      </c>
      <c r="H36" s="283">
        <v>386</v>
      </c>
      <c r="I36" s="443">
        <v>230</v>
      </c>
      <c r="J36" s="443">
        <v>379</v>
      </c>
      <c r="K36" s="443">
        <v>431</v>
      </c>
      <c r="L36" s="443">
        <v>360</v>
      </c>
      <c r="M36" s="443">
        <v>294</v>
      </c>
      <c r="N36" s="443">
        <v>223</v>
      </c>
      <c r="O36" s="443">
        <v>438</v>
      </c>
      <c r="P36" s="443">
        <v>476</v>
      </c>
      <c r="Q36" s="443">
        <v>176</v>
      </c>
      <c r="R36" s="741">
        <f>E36/D36*100</f>
        <v>106.25</v>
      </c>
      <c r="S36" s="140"/>
      <c r="T36" s="164"/>
      <c r="U36" s="165"/>
      <c r="V36" s="133"/>
      <c r="W36" s="127"/>
      <c r="X36" s="128"/>
      <c r="Y36" s="123"/>
      <c r="Z36" s="141"/>
      <c r="AA36" s="141"/>
      <c r="AB36" s="142"/>
      <c r="AC36" s="142"/>
      <c r="AD36" s="141"/>
      <c r="AE36" s="125"/>
      <c r="AF36" s="141"/>
      <c r="AG36" s="125"/>
      <c r="AH36" s="141"/>
    </row>
    <row r="37" spans="1:34" s="171" customFormat="1" ht="18.75" customHeight="1">
      <c r="A37" s="373"/>
      <c r="B37" s="374" t="s">
        <v>283</v>
      </c>
      <c r="C37" s="373" t="s">
        <v>272</v>
      </c>
      <c r="D37" s="460">
        <v>285</v>
      </c>
      <c r="E37" s="461">
        <f>SUM(F37:Q37)</f>
        <v>295</v>
      </c>
      <c r="F37" s="462">
        <v>41</v>
      </c>
      <c r="G37" s="462">
        <v>21</v>
      </c>
      <c r="H37" s="668">
        <v>41</v>
      </c>
      <c r="I37" s="462">
        <v>18</v>
      </c>
      <c r="J37" s="462">
        <v>29</v>
      </c>
      <c r="K37" s="462">
        <v>35</v>
      </c>
      <c r="L37" s="462">
        <v>19</v>
      </c>
      <c r="M37" s="462">
        <v>19</v>
      </c>
      <c r="N37" s="462">
        <v>14</v>
      </c>
      <c r="O37" s="462">
        <v>20</v>
      </c>
      <c r="P37" s="462">
        <v>24</v>
      </c>
      <c r="Q37" s="462">
        <v>14</v>
      </c>
      <c r="R37" s="741">
        <f>E37/D37*100</f>
        <v>103.50877192982458</v>
      </c>
      <c r="S37" s="169"/>
      <c r="T37" s="133"/>
      <c r="U37" s="132"/>
      <c r="V37" s="133"/>
      <c r="W37" s="137"/>
      <c r="X37" s="137"/>
      <c r="Y37" s="170"/>
      <c r="Z37" s="137"/>
      <c r="AA37" s="137"/>
      <c r="AB37" s="137"/>
      <c r="AC37" s="137"/>
      <c r="AD37" s="137"/>
      <c r="AE37" s="137"/>
      <c r="AF37" s="137"/>
      <c r="AG37" s="137"/>
      <c r="AH37" s="137"/>
    </row>
    <row r="38" spans="1:34" s="139" customFormat="1" ht="18" customHeight="1">
      <c r="A38" s="365"/>
      <c r="B38" s="366" t="s">
        <v>84</v>
      </c>
      <c r="C38" s="365" t="s">
        <v>12</v>
      </c>
      <c r="D38" s="441">
        <v>100</v>
      </c>
      <c r="E38" s="441">
        <f>SUM(F38:Q38)/12</f>
        <v>100</v>
      </c>
      <c r="F38" s="443">
        <v>100</v>
      </c>
      <c r="G38" s="443">
        <v>100</v>
      </c>
      <c r="H38" s="283">
        <v>100</v>
      </c>
      <c r="I38" s="443">
        <v>100</v>
      </c>
      <c r="J38" s="443">
        <v>100</v>
      </c>
      <c r="K38" s="443">
        <v>100</v>
      </c>
      <c r="L38" s="443">
        <v>100</v>
      </c>
      <c r="M38" s="443">
        <v>100</v>
      </c>
      <c r="N38" s="443">
        <v>100</v>
      </c>
      <c r="O38" s="443">
        <v>100</v>
      </c>
      <c r="P38" s="443">
        <v>100</v>
      </c>
      <c r="Q38" s="443">
        <v>100</v>
      </c>
      <c r="R38" s="673"/>
      <c r="S38" s="172"/>
      <c r="T38" s="133"/>
      <c r="U38" s="132" t="s">
        <v>85</v>
      </c>
      <c r="V38" s="133" t="s">
        <v>12</v>
      </c>
      <c r="W38" s="143">
        <v>99.1</v>
      </c>
      <c r="X38" s="173">
        <v>99.46</v>
      </c>
      <c r="Y38" s="145">
        <v>99.3</v>
      </c>
      <c r="Z38" s="137">
        <v>100</v>
      </c>
      <c r="AA38" s="174">
        <v>99.9</v>
      </c>
      <c r="AB38" s="175">
        <v>99.5</v>
      </c>
      <c r="AC38" s="175">
        <v>98.6</v>
      </c>
      <c r="AD38" s="162">
        <v>99.8</v>
      </c>
      <c r="AE38" s="131">
        <v>95.2</v>
      </c>
      <c r="AF38" s="137">
        <v>100</v>
      </c>
      <c r="AG38" s="131">
        <v>99.3</v>
      </c>
      <c r="AH38" s="174">
        <v>99.8</v>
      </c>
    </row>
    <row r="39" spans="1:34" s="139" customFormat="1" ht="18" customHeight="1">
      <c r="A39" s="365"/>
      <c r="B39" s="366" t="s">
        <v>672</v>
      </c>
      <c r="C39" s="365" t="s">
        <v>12</v>
      </c>
      <c r="D39" s="456">
        <v>99.9</v>
      </c>
      <c r="E39" s="456">
        <v>99.9</v>
      </c>
      <c r="F39" s="377">
        <v>99.7</v>
      </c>
      <c r="G39" s="377">
        <v>99.6</v>
      </c>
      <c r="H39" s="283">
        <v>100</v>
      </c>
      <c r="I39" s="443">
        <v>100</v>
      </c>
      <c r="J39" s="443">
        <v>100</v>
      </c>
      <c r="K39" s="443">
        <v>100</v>
      </c>
      <c r="L39" s="443">
        <v>100</v>
      </c>
      <c r="M39" s="443">
        <v>100</v>
      </c>
      <c r="N39" s="377">
        <v>99.7</v>
      </c>
      <c r="O39" s="443">
        <v>100</v>
      </c>
      <c r="P39" s="377">
        <v>99.7</v>
      </c>
      <c r="Q39" s="443">
        <v>100</v>
      </c>
      <c r="R39" s="673"/>
      <c r="S39" s="172"/>
      <c r="T39" s="133"/>
      <c r="U39" s="132" t="s">
        <v>86</v>
      </c>
      <c r="V39" s="133" t="s">
        <v>12</v>
      </c>
      <c r="W39" s="143">
        <v>99.2</v>
      </c>
      <c r="X39" s="173">
        <v>99.7</v>
      </c>
      <c r="Y39" s="145">
        <v>99.4</v>
      </c>
      <c r="Z39" s="176">
        <v>100</v>
      </c>
      <c r="AA39" s="177">
        <v>99.5</v>
      </c>
      <c r="AB39" s="178">
        <v>99.3</v>
      </c>
      <c r="AC39" s="178">
        <v>99.9</v>
      </c>
      <c r="AD39" s="178">
        <v>99.5</v>
      </c>
      <c r="AE39" s="179">
        <v>95.4</v>
      </c>
      <c r="AF39" s="177">
        <v>97.04</v>
      </c>
      <c r="AG39" s="179">
        <v>99</v>
      </c>
      <c r="AH39" s="174">
        <v>94</v>
      </c>
    </row>
    <row r="40" spans="1:34" s="139" customFormat="1" ht="16.5" customHeight="1">
      <c r="A40" s="365"/>
      <c r="B40" s="366" t="s">
        <v>77</v>
      </c>
      <c r="C40" s="365" t="s">
        <v>12</v>
      </c>
      <c r="D40" s="456">
        <v>48.9</v>
      </c>
      <c r="E40" s="441">
        <v>49</v>
      </c>
      <c r="F40" s="377">
        <v>48.6</v>
      </c>
      <c r="G40" s="377">
        <v>45.1</v>
      </c>
      <c r="H40" s="469">
        <v>49.8</v>
      </c>
      <c r="I40" s="443">
        <v>48</v>
      </c>
      <c r="J40" s="377">
        <f>(248+169)/J35%</f>
        <v>50.18050541516245</v>
      </c>
      <c r="K40" s="443">
        <v>50</v>
      </c>
      <c r="L40" s="443">
        <v>52</v>
      </c>
      <c r="M40" s="377">
        <v>47.3</v>
      </c>
      <c r="N40" s="377">
        <v>48.8</v>
      </c>
      <c r="O40" s="377">
        <v>49.1</v>
      </c>
      <c r="P40" s="377">
        <v>49.1</v>
      </c>
      <c r="Q40" s="377">
        <v>48.7</v>
      </c>
      <c r="R40" s="514">
        <f>E40-D40</f>
        <v>0.10000000000000142</v>
      </c>
      <c r="S40" s="140"/>
      <c r="T40" s="133"/>
      <c r="U40" s="132" t="s">
        <v>77</v>
      </c>
      <c r="V40" s="133" t="s">
        <v>12</v>
      </c>
      <c r="W40" s="143">
        <v>47</v>
      </c>
      <c r="X40" s="173" t="e">
        <f>28123/X35*100</f>
        <v>#DIV/0!</v>
      </c>
      <c r="Y40" s="145">
        <v>47.2</v>
      </c>
      <c r="Z40" s="177">
        <v>47.93611793611793</v>
      </c>
      <c r="AA40" s="177">
        <v>48.62139917695473</v>
      </c>
      <c r="AB40" s="177">
        <v>46.16216216216216</v>
      </c>
      <c r="AC40" s="177">
        <v>47.294117647058826</v>
      </c>
      <c r="AD40" s="177">
        <v>47.70328102710414</v>
      </c>
      <c r="AE40" s="177">
        <v>44.525193798449614</v>
      </c>
      <c r="AF40" s="177">
        <v>47.80911062906725</v>
      </c>
      <c r="AG40" s="177">
        <v>47.75240384615385</v>
      </c>
      <c r="AH40" s="177">
        <v>40.44628099173554</v>
      </c>
    </row>
    <row r="41" spans="1:34" s="139" customFormat="1" ht="16.5" customHeight="1">
      <c r="A41" s="365"/>
      <c r="B41" s="366" t="s">
        <v>80</v>
      </c>
      <c r="C41" s="365" t="s">
        <v>12</v>
      </c>
      <c r="D41" s="465"/>
      <c r="E41" s="456">
        <v>0.1</v>
      </c>
      <c r="F41" s="377"/>
      <c r="G41" s="377"/>
      <c r="H41" s="469"/>
      <c r="I41" s="377">
        <v>0.2</v>
      </c>
      <c r="J41" s="377"/>
      <c r="K41" s="377"/>
      <c r="L41" s="377"/>
      <c r="M41" s="377">
        <v>0.7</v>
      </c>
      <c r="N41" s="377"/>
      <c r="O41" s="377">
        <v>0.3</v>
      </c>
      <c r="P41" s="377"/>
      <c r="Q41" s="377">
        <v>0.6</v>
      </c>
      <c r="R41" s="515"/>
      <c r="S41" s="140"/>
      <c r="T41" s="133"/>
      <c r="U41" s="132" t="s">
        <v>80</v>
      </c>
      <c r="V41" s="133" t="s">
        <v>12</v>
      </c>
      <c r="W41" s="180">
        <v>0.5</v>
      </c>
      <c r="X41" s="181">
        <v>0.48</v>
      </c>
      <c r="Y41" s="182">
        <f>SUM(Z41:AH41)/9</f>
        <v>0.4555555555555556</v>
      </c>
      <c r="Z41" s="177" t="s">
        <v>87</v>
      </c>
      <c r="AA41" s="177">
        <v>0</v>
      </c>
      <c r="AB41" s="178">
        <v>0.2</v>
      </c>
      <c r="AC41" s="178">
        <v>1.9</v>
      </c>
      <c r="AD41" s="177">
        <v>0.2</v>
      </c>
      <c r="AE41" s="179">
        <v>1</v>
      </c>
      <c r="AF41" s="177"/>
      <c r="AG41" s="179">
        <v>0.2</v>
      </c>
      <c r="AH41" s="174">
        <v>0.6</v>
      </c>
    </row>
    <row r="42" spans="1:34" s="139" customFormat="1" ht="16.5" customHeight="1">
      <c r="A42" s="365"/>
      <c r="B42" s="366" t="s">
        <v>81</v>
      </c>
      <c r="C42" s="365" t="s">
        <v>12</v>
      </c>
      <c r="D42" s="463"/>
      <c r="E42" s="456"/>
      <c r="F42" s="377"/>
      <c r="G42" s="377"/>
      <c r="H42" s="469"/>
      <c r="I42" s="377"/>
      <c r="J42" s="377"/>
      <c r="K42" s="377"/>
      <c r="L42" s="377"/>
      <c r="M42" s="377"/>
      <c r="N42" s="377"/>
      <c r="O42" s="377"/>
      <c r="P42" s="377"/>
      <c r="Q42" s="377"/>
      <c r="R42" s="515"/>
      <c r="S42" s="140"/>
      <c r="T42" s="133"/>
      <c r="U42" s="132"/>
      <c r="V42" s="133"/>
      <c r="W42" s="143"/>
      <c r="X42" s="173"/>
      <c r="Y42" s="182"/>
      <c r="Z42" s="177"/>
      <c r="AA42" s="177"/>
      <c r="AB42" s="178"/>
      <c r="AC42" s="178"/>
      <c r="AD42" s="177"/>
      <c r="AE42" s="179"/>
      <c r="AF42" s="177"/>
      <c r="AG42" s="179"/>
      <c r="AH42" s="174"/>
    </row>
    <row r="43" spans="1:37" s="118" customFormat="1" ht="16.5" customHeight="1">
      <c r="A43" s="361" t="s">
        <v>194</v>
      </c>
      <c r="B43" s="362" t="s">
        <v>88</v>
      </c>
      <c r="C43" s="361" t="s">
        <v>583</v>
      </c>
      <c r="D43" s="447">
        <v>5011</v>
      </c>
      <c r="E43" s="447">
        <f>SUM(F43:Q43)</f>
        <v>5360</v>
      </c>
      <c r="F43" s="447">
        <v>419</v>
      </c>
      <c r="G43" s="447">
        <v>830</v>
      </c>
      <c r="H43" s="678">
        <v>755</v>
      </c>
      <c r="I43" s="447">
        <v>353</v>
      </c>
      <c r="J43" s="447">
        <v>529</v>
      </c>
      <c r="K43" s="447">
        <v>504</v>
      </c>
      <c r="L43" s="447">
        <v>341</v>
      </c>
      <c r="M43" s="447">
        <v>349</v>
      </c>
      <c r="N43" s="447">
        <v>260</v>
      </c>
      <c r="O43" s="447">
        <v>330</v>
      </c>
      <c r="P43" s="447">
        <v>481</v>
      </c>
      <c r="Q43" s="447">
        <v>209</v>
      </c>
      <c r="R43" s="664">
        <f>E43/D43*100</f>
        <v>106.9646777090401</v>
      </c>
      <c r="S43" s="155"/>
      <c r="T43" s="164" t="s">
        <v>194</v>
      </c>
      <c r="U43" s="165" t="s">
        <v>88</v>
      </c>
      <c r="V43" s="119" t="s">
        <v>61</v>
      </c>
      <c r="W43" s="127">
        <v>37088</v>
      </c>
      <c r="X43" s="128">
        <v>36424</v>
      </c>
      <c r="Y43" s="123">
        <f>SUM(Z43:AH43)</f>
        <v>37274</v>
      </c>
      <c r="Z43" s="141">
        <v>2800</v>
      </c>
      <c r="AA43" s="141">
        <v>7014</v>
      </c>
      <c r="AB43" s="141">
        <v>4550</v>
      </c>
      <c r="AC43" s="141">
        <v>550</v>
      </c>
      <c r="AD43" s="141">
        <v>4800</v>
      </c>
      <c r="AE43" s="125">
        <v>5210</v>
      </c>
      <c r="AF43" s="141">
        <v>3550</v>
      </c>
      <c r="AG43" s="125">
        <v>5850</v>
      </c>
      <c r="AH43" s="141">
        <v>2950</v>
      </c>
      <c r="AJ43" s="155"/>
      <c r="AK43" s="163"/>
    </row>
    <row r="44" spans="1:34" s="118" customFormat="1" ht="16.5" customHeight="1">
      <c r="A44" s="149"/>
      <c r="B44" s="367" t="s">
        <v>76</v>
      </c>
      <c r="C44" s="365" t="s">
        <v>583</v>
      </c>
      <c r="D44" s="441">
        <v>3291</v>
      </c>
      <c r="E44" s="441">
        <f>SUM(F44:Q44)</f>
        <v>3492</v>
      </c>
      <c r="F44" s="443"/>
      <c r="G44" s="443">
        <v>572</v>
      </c>
      <c r="H44" s="283">
        <v>441</v>
      </c>
      <c r="I44" s="443">
        <v>201</v>
      </c>
      <c r="J44" s="443">
        <v>431</v>
      </c>
      <c r="K44" s="443">
        <v>453</v>
      </c>
      <c r="L44" s="443">
        <v>284</v>
      </c>
      <c r="M44" s="443">
        <v>189</v>
      </c>
      <c r="N44" s="443">
        <v>131</v>
      </c>
      <c r="O44" s="443">
        <v>266</v>
      </c>
      <c r="P44" s="443">
        <v>402</v>
      </c>
      <c r="Q44" s="443">
        <v>122</v>
      </c>
      <c r="R44" s="741">
        <f>E44/D44*100</f>
        <v>106.10756608933455</v>
      </c>
      <c r="S44" s="140"/>
      <c r="T44" s="164"/>
      <c r="U44" s="165"/>
      <c r="V44" s="133"/>
      <c r="W44" s="127"/>
      <c r="X44" s="128"/>
      <c r="Y44" s="123"/>
      <c r="Z44" s="141"/>
      <c r="AA44" s="141"/>
      <c r="AB44" s="141"/>
      <c r="AC44" s="141"/>
      <c r="AD44" s="141"/>
      <c r="AE44" s="125"/>
      <c r="AF44" s="141"/>
      <c r="AG44" s="125"/>
      <c r="AH44" s="141"/>
    </row>
    <row r="45" spans="1:34" s="159" customFormat="1" ht="18.75" customHeight="1">
      <c r="A45" s="365"/>
      <c r="B45" s="366" t="s">
        <v>283</v>
      </c>
      <c r="C45" s="365" t="s">
        <v>272</v>
      </c>
      <c r="D45" s="441">
        <v>138</v>
      </c>
      <c r="E45" s="441">
        <f>SUM(F45:Q45)</f>
        <v>141</v>
      </c>
      <c r="F45" s="443">
        <v>12</v>
      </c>
      <c r="G45" s="443">
        <v>21</v>
      </c>
      <c r="H45" s="283">
        <v>20</v>
      </c>
      <c r="I45" s="443">
        <v>9</v>
      </c>
      <c r="J45" s="443">
        <v>13</v>
      </c>
      <c r="K45" s="443">
        <v>14</v>
      </c>
      <c r="L45" s="443">
        <v>9</v>
      </c>
      <c r="M45" s="443">
        <v>8</v>
      </c>
      <c r="N45" s="443">
        <v>8</v>
      </c>
      <c r="O45" s="443">
        <v>8</v>
      </c>
      <c r="P45" s="443">
        <v>12</v>
      </c>
      <c r="Q45" s="443">
        <v>7</v>
      </c>
      <c r="R45" s="741">
        <f>E45/D45*100</f>
        <v>102.17391304347827</v>
      </c>
      <c r="S45" s="140"/>
      <c r="T45" s="133"/>
      <c r="U45" s="132"/>
      <c r="V45" s="133"/>
      <c r="W45" s="183"/>
      <c r="X45" s="184"/>
      <c r="Y45" s="136"/>
      <c r="Z45" s="137"/>
      <c r="AA45" s="137"/>
      <c r="AB45" s="137"/>
      <c r="AC45" s="137"/>
      <c r="AD45" s="137"/>
      <c r="AE45" s="137"/>
      <c r="AF45" s="137"/>
      <c r="AG45" s="137"/>
      <c r="AH45" s="137"/>
    </row>
    <row r="46" spans="1:34" s="139" customFormat="1" ht="16.5" customHeight="1">
      <c r="A46" s="365"/>
      <c r="B46" s="366" t="s">
        <v>89</v>
      </c>
      <c r="C46" s="365" t="s">
        <v>12</v>
      </c>
      <c r="D46" s="456">
        <v>96.3</v>
      </c>
      <c r="E46" s="456">
        <v>97.5</v>
      </c>
      <c r="F46" s="441">
        <f>64/64%</f>
        <v>100</v>
      </c>
      <c r="G46" s="456">
        <v>95.8</v>
      </c>
      <c r="H46" s="679">
        <v>99.5</v>
      </c>
      <c r="I46" s="456">
        <v>97.8</v>
      </c>
      <c r="J46" s="456">
        <v>98.5</v>
      </c>
      <c r="K46" s="456">
        <v>95.9</v>
      </c>
      <c r="L46" s="456">
        <v>95.2</v>
      </c>
      <c r="M46" s="456">
        <v>98.9</v>
      </c>
      <c r="N46" s="441">
        <v>100</v>
      </c>
      <c r="O46" s="456">
        <v>97.8</v>
      </c>
      <c r="P46" s="456">
        <v>97.4</v>
      </c>
      <c r="Q46" s="456">
        <v>92.3</v>
      </c>
      <c r="R46" s="669">
        <f>E46-D46</f>
        <v>1.2000000000000028</v>
      </c>
      <c r="S46" s="140"/>
      <c r="T46" s="133"/>
      <c r="U46" s="132" t="s">
        <v>90</v>
      </c>
      <c r="V46" s="133" t="s">
        <v>12</v>
      </c>
      <c r="W46" s="143">
        <v>86</v>
      </c>
      <c r="X46" s="173">
        <v>86.2</v>
      </c>
      <c r="Y46" s="145">
        <v>87.9</v>
      </c>
      <c r="Z46" s="174">
        <v>99</v>
      </c>
      <c r="AA46" s="174">
        <v>98.5</v>
      </c>
      <c r="AB46" s="174">
        <v>90</v>
      </c>
      <c r="AC46" s="185">
        <v>87</v>
      </c>
      <c r="AD46" s="174">
        <v>91</v>
      </c>
      <c r="AE46" s="131">
        <v>80.1</v>
      </c>
      <c r="AF46" s="174">
        <v>98</v>
      </c>
      <c r="AG46" s="131">
        <v>99</v>
      </c>
      <c r="AH46" s="174">
        <v>66</v>
      </c>
    </row>
    <row r="47" spans="1:34" s="139" customFormat="1" ht="16.5" customHeight="1">
      <c r="A47" s="365"/>
      <c r="B47" s="366" t="s">
        <v>91</v>
      </c>
      <c r="C47" s="365" t="s">
        <v>12</v>
      </c>
      <c r="D47" s="441">
        <v>94</v>
      </c>
      <c r="E47" s="456">
        <v>96.9</v>
      </c>
      <c r="F47" s="441">
        <v>100</v>
      </c>
      <c r="G47" s="456">
        <v>95.6</v>
      </c>
      <c r="H47" s="456">
        <v>96.7</v>
      </c>
      <c r="I47" s="456">
        <v>97.2</v>
      </c>
      <c r="J47" s="456">
        <v>97.6</v>
      </c>
      <c r="K47" s="456">
        <v>97.3</v>
      </c>
      <c r="L47" s="456">
        <v>97.8</v>
      </c>
      <c r="M47" s="456">
        <v>98.6</v>
      </c>
      <c r="N47" s="456">
        <v>96.3</v>
      </c>
      <c r="O47" s="441">
        <v>95</v>
      </c>
      <c r="P47" s="456">
        <v>97.8</v>
      </c>
      <c r="Q47" s="456">
        <v>93.3</v>
      </c>
      <c r="R47" s="669">
        <f>E47-D47</f>
        <v>2.9000000000000057</v>
      </c>
      <c r="S47" s="140"/>
      <c r="T47" s="133"/>
      <c r="U47" s="132" t="s">
        <v>91</v>
      </c>
      <c r="V47" s="133" t="s">
        <v>12</v>
      </c>
      <c r="W47" s="143">
        <v>88.2</v>
      </c>
      <c r="X47" s="173">
        <v>87.4</v>
      </c>
      <c r="Y47" s="145">
        <v>88.7</v>
      </c>
      <c r="Z47" s="174">
        <v>98</v>
      </c>
      <c r="AA47" s="174">
        <v>89.5</v>
      </c>
      <c r="AB47" s="174">
        <v>98</v>
      </c>
      <c r="AC47" s="185">
        <v>98</v>
      </c>
      <c r="AD47" s="174">
        <v>95</v>
      </c>
      <c r="AE47" s="131">
        <v>80</v>
      </c>
      <c r="AF47" s="174">
        <v>95</v>
      </c>
      <c r="AG47" s="131">
        <v>97</v>
      </c>
      <c r="AH47" s="174">
        <v>84.5</v>
      </c>
    </row>
    <row r="48" spans="1:34" s="139" customFormat="1" ht="16.5" customHeight="1">
      <c r="A48" s="365"/>
      <c r="B48" s="366" t="s">
        <v>77</v>
      </c>
      <c r="C48" s="365" t="s">
        <v>12</v>
      </c>
      <c r="D48" s="377">
        <v>44.3</v>
      </c>
      <c r="E48" s="456">
        <v>46.1</v>
      </c>
      <c r="F48" s="377">
        <v>48.4</v>
      </c>
      <c r="G48" s="377">
        <v>50.1</v>
      </c>
      <c r="H48" s="469">
        <v>48.5</v>
      </c>
      <c r="I48" s="377">
        <v>45.9</v>
      </c>
      <c r="J48" s="443">
        <v>45</v>
      </c>
      <c r="K48" s="377">
        <v>44.2</v>
      </c>
      <c r="L48" s="443">
        <v>49</v>
      </c>
      <c r="M48" s="377">
        <v>47.6</v>
      </c>
      <c r="N48" s="377">
        <v>53.1</v>
      </c>
      <c r="O48" s="377">
        <v>37.9</v>
      </c>
      <c r="P48" s="443">
        <v>37.6</v>
      </c>
      <c r="Q48" s="377">
        <v>53.6</v>
      </c>
      <c r="R48" s="669">
        <f>E48-D48</f>
        <v>1.8000000000000043</v>
      </c>
      <c r="S48" s="140"/>
      <c r="T48" s="133"/>
      <c r="U48" s="132" t="s">
        <v>77</v>
      </c>
      <c r="V48" s="133" t="s">
        <v>12</v>
      </c>
      <c r="W48" s="143">
        <v>42.3</v>
      </c>
      <c r="X48" s="173">
        <f>(14840+110+274)/X43*100</f>
        <v>41.7966176147595</v>
      </c>
      <c r="Y48" s="145">
        <f>15877/Y43*100</f>
        <v>42.59537479208027</v>
      </c>
      <c r="Z48" s="177">
        <v>48.142857142857146</v>
      </c>
      <c r="AA48" s="177">
        <v>44.525235243798114</v>
      </c>
      <c r="AB48" s="177">
        <v>38.527472527472526</v>
      </c>
      <c r="AC48" s="177">
        <v>44.18181818181818</v>
      </c>
      <c r="AD48" s="177">
        <v>39.875</v>
      </c>
      <c r="AE48" s="177">
        <v>35.93090211132438</v>
      </c>
      <c r="AF48" s="177">
        <v>46.42253521126761</v>
      </c>
      <c r="AG48" s="177">
        <v>44.2905982905983</v>
      </c>
      <c r="AH48" s="177">
        <v>33.389830508474574</v>
      </c>
    </row>
    <row r="49" spans="1:34" s="139" customFormat="1" ht="16.5" customHeight="1">
      <c r="A49" s="365"/>
      <c r="B49" s="366" t="s">
        <v>80</v>
      </c>
      <c r="C49" s="365" t="s">
        <v>12</v>
      </c>
      <c r="D49" s="442"/>
      <c r="E49" s="456">
        <v>0.3</v>
      </c>
      <c r="F49" s="377"/>
      <c r="G49" s="377"/>
      <c r="H49" s="469">
        <v>0.7</v>
      </c>
      <c r="I49" s="377"/>
      <c r="J49" s="377">
        <v>0.4</v>
      </c>
      <c r="K49" s="377">
        <v>0.2</v>
      </c>
      <c r="L49" s="377"/>
      <c r="M49" s="377">
        <v>0.3</v>
      </c>
      <c r="N49" s="377"/>
      <c r="O49" s="377">
        <v>1.5</v>
      </c>
      <c r="P49" s="377">
        <v>0.2</v>
      </c>
      <c r="Q49" s="377"/>
      <c r="R49" s="613"/>
      <c r="S49" s="140"/>
      <c r="T49" s="133"/>
      <c r="U49" s="132" t="s">
        <v>80</v>
      </c>
      <c r="V49" s="133" t="s">
        <v>12</v>
      </c>
      <c r="W49" s="143">
        <v>1</v>
      </c>
      <c r="X49" s="173">
        <v>0.9</v>
      </c>
      <c r="Y49" s="145">
        <f>SUM(Z49:AH49)/9</f>
        <v>0.8679999999999999</v>
      </c>
      <c r="Z49" s="177" t="s">
        <v>87</v>
      </c>
      <c r="AA49" s="174">
        <v>0.5</v>
      </c>
      <c r="AB49" s="186">
        <v>0.012</v>
      </c>
      <c r="AC49" s="185">
        <v>2.3</v>
      </c>
      <c r="AD49" s="174">
        <v>1</v>
      </c>
      <c r="AE49" s="131">
        <v>1.5</v>
      </c>
      <c r="AF49" s="174">
        <v>1</v>
      </c>
      <c r="AG49" s="131">
        <v>1</v>
      </c>
      <c r="AH49" s="174">
        <v>0.5</v>
      </c>
    </row>
    <row r="50" spans="1:34" s="139" customFormat="1" ht="16.5" customHeight="1">
      <c r="A50" s="365"/>
      <c r="B50" s="366" t="s">
        <v>81</v>
      </c>
      <c r="C50" s="365" t="s">
        <v>12</v>
      </c>
      <c r="D50" s="463"/>
      <c r="E50" s="444"/>
      <c r="F50" s="377"/>
      <c r="G50" s="377"/>
      <c r="H50" s="469"/>
      <c r="I50" s="377"/>
      <c r="J50" s="377"/>
      <c r="K50" s="377"/>
      <c r="L50" s="377"/>
      <c r="M50" s="377"/>
      <c r="N50" s="443"/>
      <c r="O50" s="377"/>
      <c r="P50" s="377"/>
      <c r="Q50" s="150"/>
      <c r="R50" s="515"/>
      <c r="S50" s="140"/>
      <c r="T50" s="133"/>
      <c r="U50" s="132" t="s">
        <v>81</v>
      </c>
      <c r="V50" s="133" t="s">
        <v>12</v>
      </c>
      <c r="W50" s="143">
        <v>0.9</v>
      </c>
      <c r="X50" s="173">
        <v>0.9</v>
      </c>
      <c r="Y50" s="145">
        <v>0.9</v>
      </c>
      <c r="Z50" s="174">
        <v>0.6</v>
      </c>
      <c r="AA50" s="174">
        <v>0.8</v>
      </c>
      <c r="AB50" s="174">
        <v>0.96</v>
      </c>
      <c r="AC50" s="185">
        <v>1.5</v>
      </c>
      <c r="AD50" s="174">
        <v>0.75</v>
      </c>
      <c r="AE50" s="187">
        <v>1.05</v>
      </c>
      <c r="AF50" s="174">
        <v>1.45</v>
      </c>
      <c r="AG50" s="187">
        <v>0.75</v>
      </c>
      <c r="AH50" s="174">
        <v>0.95</v>
      </c>
    </row>
    <row r="51" spans="1:37" s="118" customFormat="1" ht="16.5" customHeight="1">
      <c r="A51" s="361" t="s">
        <v>195</v>
      </c>
      <c r="B51" s="362" t="s">
        <v>92</v>
      </c>
      <c r="C51" s="361" t="s">
        <v>583</v>
      </c>
      <c r="D51" s="384">
        <v>1473</v>
      </c>
      <c r="E51" s="384">
        <f>SUM(F51:Q51)</f>
        <v>1700</v>
      </c>
      <c r="F51" s="447">
        <f>780+80+F52</f>
        <v>1210</v>
      </c>
      <c r="G51" s="447"/>
      <c r="H51" s="678">
        <v>150</v>
      </c>
      <c r="I51" s="447"/>
      <c r="J51" s="447"/>
      <c r="K51" s="447"/>
      <c r="L51" s="447"/>
      <c r="M51" s="447"/>
      <c r="N51" s="447"/>
      <c r="O51" s="447">
        <v>340</v>
      </c>
      <c r="P51" s="447"/>
      <c r="Q51" s="447"/>
      <c r="R51" s="516">
        <f>E51/D51*100</f>
        <v>115.41072640868974</v>
      </c>
      <c r="S51" s="155"/>
      <c r="T51" s="164" t="s">
        <v>195</v>
      </c>
      <c r="U51" s="165" t="s">
        <v>92</v>
      </c>
      <c r="V51" s="119" t="s">
        <v>61</v>
      </c>
      <c r="W51" s="127">
        <v>15305</v>
      </c>
      <c r="X51" s="128">
        <v>15449</v>
      </c>
      <c r="Y51" s="123">
        <f>SUM(Z51:AH51)</f>
        <v>16200</v>
      </c>
      <c r="Z51" s="141">
        <v>3580</v>
      </c>
      <c r="AA51" s="141">
        <v>3620</v>
      </c>
      <c r="AB51" s="141">
        <v>1600</v>
      </c>
      <c r="AC51" s="141">
        <v>400</v>
      </c>
      <c r="AD51" s="141">
        <v>950</v>
      </c>
      <c r="AE51" s="125">
        <v>1050</v>
      </c>
      <c r="AF51" s="141">
        <v>1700</v>
      </c>
      <c r="AG51" s="125">
        <v>2100</v>
      </c>
      <c r="AH51" s="141">
        <v>1200</v>
      </c>
      <c r="AK51" s="163"/>
    </row>
    <row r="52" spans="1:34" s="118" customFormat="1" ht="18" customHeight="1">
      <c r="A52" s="361"/>
      <c r="B52" s="376" t="s">
        <v>631</v>
      </c>
      <c r="C52" s="365" t="s">
        <v>583</v>
      </c>
      <c r="D52" s="292">
        <v>344</v>
      </c>
      <c r="E52" s="292">
        <v>350</v>
      </c>
      <c r="F52" s="292">
        <v>350</v>
      </c>
      <c r="G52" s="443"/>
      <c r="H52" s="283"/>
      <c r="I52" s="443"/>
      <c r="J52" s="443"/>
      <c r="K52" s="443"/>
      <c r="L52" s="443"/>
      <c r="M52" s="443"/>
      <c r="N52" s="443"/>
      <c r="O52" s="443"/>
      <c r="P52" s="443"/>
      <c r="Q52" s="443"/>
      <c r="R52" s="515">
        <f>E52/D52*100</f>
        <v>101.74418604651163</v>
      </c>
      <c r="S52" s="140"/>
      <c r="T52" s="125"/>
      <c r="U52" s="120" t="s">
        <v>96</v>
      </c>
      <c r="V52" s="119" t="s">
        <v>95</v>
      </c>
      <c r="W52" s="127">
        <v>2200</v>
      </c>
      <c r="X52" s="188">
        <f>94+75+98+99+106+104+69+101+70+25+93+66+61+106+64+32+104+63+33+89+36+63+95+66+31+103+64+59+501</f>
        <v>2570</v>
      </c>
      <c r="Y52" s="189">
        <v>2700</v>
      </c>
      <c r="Z52" s="166">
        <v>600</v>
      </c>
      <c r="AA52" s="166">
        <v>300</v>
      </c>
      <c r="AB52" s="166">
        <v>300</v>
      </c>
      <c r="AC52" s="166">
        <v>0</v>
      </c>
      <c r="AD52" s="166">
        <v>300</v>
      </c>
      <c r="AE52" s="166">
        <v>300</v>
      </c>
      <c r="AF52" s="166">
        <v>300</v>
      </c>
      <c r="AG52" s="166">
        <v>300</v>
      </c>
      <c r="AH52" s="166">
        <v>300</v>
      </c>
    </row>
    <row r="53" spans="1:34" s="159" customFormat="1" ht="18.75" customHeight="1">
      <c r="A53" s="365"/>
      <c r="B53" s="366" t="s">
        <v>283</v>
      </c>
      <c r="C53" s="365" t="s">
        <v>272</v>
      </c>
      <c r="D53" s="292">
        <v>40</v>
      </c>
      <c r="E53" s="292">
        <f>SUM(F53:O53)</f>
        <v>44</v>
      </c>
      <c r="F53" s="292">
        <v>32</v>
      </c>
      <c r="G53" s="292"/>
      <c r="H53" s="680">
        <v>3</v>
      </c>
      <c r="I53" s="462"/>
      <c r="J53" s="462"/>
      <c r="K53" s="462"/>
      <c r="L53" s="462"/>
      <c r="M53" s="462"/>
      <c r="N53" s="462"/>
      <c r="O53" s="462">
        <v>9</v>
      </c>
      <c r="P53" s="462"/>
      <c r="Q53" s="377"/>
      <c r="R53" s="375">
        <f>E53/D53*100</f>
        <v>110.00000000000001</v>
      </c>
      <c r="S53" s="140"/>
      <c r="T53" s="133"/>
      <c r="U53" s="132"/>
      <c r="V53" s="133"/>
      <c r="W53" s="183"/>
      <c r="X53" s="184"/>
      <c r="Y53" s="136"/>
      <c r="Z53" s="137"/>
      <c r="AA53" s="137"/>
      <c r="AB53" s="137"/>
      <c r="AC53" s="137"/>
      <c r="AD53" s="137"/>
      <c r="AE53" s="137"/>
      <c r="AF53" s="137"/>
      <c r="AG53" s="137"/>
      <c r="AH53" s="137"/>
    </row>
    <row r="54" spans="1:34" s="118" customFormat="1" ht="16.5" customHeight="1">
      <c r="A54" s="149"/>
      <c r="B54" s="367" t="s">
        <v>76</v>
      </c>
      <c r="C54" s="365" t="s">
        <v>583</v>
      </c>
      <c r="D54" s="292">
        <v>1136</v>
      </c>
      <c r="E54" s="441">
        <f>SUM(F54:O54)</f>
        <v>1000</v>
      </c>
      <c r="F54" s="443">
        <f>F52+270</f>
        <v>620</v>
      </c>
      <c r="G54" s="443"/>
      <c r="H54" s="283">
        <v>110</v>
      </c>
      <c r="I54" s="443"/>
      <c r="J54" s="443"/>
      <c r="K54" s="443"/>
      <c r="L54" s="443"/>
      <c r="M54" s="443"/>
      <c r="N54" s="443"/>
      <c r="O54" s="443">
        <v>270</v>
      </c>
      <c r="P54" s="443"/>
      <c r="Q54" s="443"/>
      <c r="R54" s="515">
        <f>E54/D54*100</f>
        <v>88.02816901408451</v>
      </c>
      <c r="S54" s="140"/>
      <c r="T54" s="164"/>
      <c r="U54" s="165"/>
      <c r="V54" s="133"/>
      <c r="W54" s="127"/>
      <c r="X54" s="128"/>
      <c r="Y54" s="123"/>
      <c r="Z54" s="141"/>
      <c r="AA54" s="141"/>
      <c r="AB54" s="141"/>
      <c r="AC54" s="141"/>
      <c r="AD54" s="141"/>
      <c r="AE54" s="125"/>
      <c r="AF54" s="141"/>
      <c r="AG54" s="125"/>
      <c r="AH54" s="141"/>
    </row>
    <row r="55" spans="1:34" s="118" customFormat="1" ht="16.5" customHeight="1">
      <c r="A55" s="361"/>
      <c r="B55" s="367" t="s">
        <v>93</v>
      </c>
      <c r="C55" s="365" t="s">
        <v>12</v>
      </c>
      <c r="D55" s="292">
        <v>52</v>
      </c>
      <c r="E55" s="441">
        <v>54</v>
      </c>
      <c r="F55" s="443">
        <v>57</v>
      </c>
      <c r="G55" s="443"/>
      <c r="H55" s="283">
        <v>54</v>
      </c>
      <c r="I55" s="443"/>
      <c r="J55" s="443"/>
      <c r="K55" s="443"/>
      <c r="L55" s="443"/>
      <c r="M55" s="443"/>
      <c r="N55" s="443"/>
      <c r="O55" s="443">
        <v>51</v>
      </c>
      <c r="P55" s="443"/>
      <c r="Q55" s="443"/>
      <c r="R55" s="681">
        <f>E55-D55</f>
        <v>2</v>
      </c>
      <c r="S55" s="140"/>
      <c r="T55" s="164"/>
      <c r="U55" s="132" t="s">
        <v>93</v>
      </c>
      <c r="V55" s="133" t="s">
        <v>12</v>
      </c>
      <c r="W55" s="190">
        <v>50.8</v>
      </c>
      <c r="X55" s="191">
        <v>51.2</v>
      </c>
      <c r="Y55" s="145">
        <f>SUM(Z55:AH55)/9</f>
        <v>52.2</v>
      </c>
      <c r="Z55" s="174">
        <v>90.4</v>
      </c>
      <c r="AA55" s="174">
        <v>50.6</v>
      </c>
      <c r="AB55" s="174">
        <v>44.5</v>
      </c>
      <c r="AC55" s="174">
        <v>68.5</v>
      </c>
      <c r="AD55" s="174">
        <v>35</v>
      </c>
      <c r="AE55" s="174">
        <v>36.5</v>
      </c>
      <c r="AF55" s="174">
        <v>61.5</v>
      </c>
      <c r="AG55" s="174">
        <v>44.8</v>
      </c>
      <c r="AH55" s="174">
        <v>38</v>
      </c>
    </row>
    <row r="56" spans="1:34" s="139" customFormat="1" ht="16.5" customHeight="1">
      <c r="A56" s="365"/>
      <c r="B56" s="366" t="s">
        <v>94</v>
      </c>
      <c r="C56" s="365" t="s">
        <v>12</v>
      </c>
      <c r="D56" s="292">
        <v>55</v>
      </c>
      <c r="E56" s="292">
        <v>57</v>
      </c>
      <c r="F56" s="443">
        <v>75</v>
      </c>
      <c r="G56" s="377"/>
      <c r="H56" s="283">
        <v>45</v>
      </c>
      <c r="I56" s="377"/>
      <c r="J56" s="377"/>
      <c r="K56" s="377"/>
      <c r="L56" s="377"/>
      <c r="M56" s="377"/>
      <c r="N56" s="377"/>
      <c r="O56" s="443">
        <v>51</v>
      </c>
      <c r="P56" s="443"/>
      <c r="Q56" s="443"/>
      <c r="R56" s="681">
        <f>E56-D56</f>
        <v>2</v>
      </c>
      <c r="S56" s="140"/>
      <c r="T56" s="133"/>
      <c r="U56" s="132" t="s">
        <v>94</v>
      </c>
      <c r="V56" s="133" t="s">
        <v>12</v>
      </c>
      <c r="W56" s="143">
        <v>51.2</v>
      </c>
      <c r="X56" s="173">
        <v>51.4</v>
      </c>
      <c r="Y56" s="145">
        <v>51.7</v>
      </c>
      <c r="Z56" s="174">
        <v>89.5</v>
      </c>
      <c r="AA56" s="174">
        <v>47.2</v>
      </c>
      <c r="AB56" s="174">
        <v>41.2</v>
      </c>
      <c r="AC56" s="174">
        <v>67.7</v>
      </c>
      <c r="AD56" s="174">
        <v>27.6</v>
      </c>
      <c r="AE56" s="174">
        <v>33.4</v>
      </c>
      <c r="AF56" s="174">
        <v>56.8</v>
      </c>
      <c r="AG56" s="174">
        <v>37.4</v>
      </c>
      <c r="AH56" s="174">
        <v>35.2</v>
      </c>
    </row>
    <row r="57" spans="1:34" s="139" customFormat="1" ht="16.5" customHeight="1">
      <c r="A57" s="365"/>
      <c r="B57" s="366" t="s">
        <v>77</v>
      </c>
      <c r="C57" s="365" t="s">
        <v>12</v>
      </c>
      <c r="D57" s="451">
        <v>21.45</v>
      </c>
      <c r="E57" s="441">
        <f>SUM(F57:O57)/3</f>
        <v>38.333333333333336</v>
      </c>
      <c r="F57" s="443">
        <v>45</v>
      </c>
      <c r="G57" s="377"/>
      <c r="H57" s="283">
        <v>34</v>
      </c>
      <c r="I57" s="377"/>
      <c r="J57" s="377"/>
      <c r="K57" s="377"/>
      <c r="L57" s="377"/>
      <c r="M57" s="377"/>
      <c r="N57" s="377"/>
      <c r="O57" s="443">
        <v>36</v>
      </c>
      <c r="P57" s="443"/>
      <c r="Q57" s="443"/>
      <c r="R57" s="673">
        <f>E57-D57</f>
        <v>16.883333333333336</v>
      </c>
      <c r="S57" s="140"/>
      <c r="T57" s="133"/>
      <c r="U57" s="132" t="s">
        <v>77</v>
      </c>
      <c r="V57" s="133" t="s">
        <v>12</v>
      </c>
      <c r="W57" s="143">
        <v>40.2</v>
      </c>
      <c r="X57" s="173">
        <v>41.6</v>
      </c>
      <c r="Y57" s="145">
        <f>6872/Y51*100</f>
        <v>42.41975308641975</v>
      </c>
      <c r="Z57" s="174">
        <v>49.7486033519553</v>
      </c>
      <c r="AA57" s="174">
        <v>43.149171270718234</v>
      </c>
      <c r="AB57" s="174">
        <v>26.4375</v>
      </c>
      <c r="AC57" s="174">
        <v>64.25</v>
      </c>
      <c r="AD57" s="174">
        <v>21.36842105263158</v>
      </c>
      <c r="AE57" s="174">
        <v>25.523809523809526</v>
      </c>
      <c r="AF57" s="174">
        <v>38.64705882352941</v>
      </c>
      <c r="AG57" s="174">
        <v>45.33333333333333</v>
      </c>
      <c r="AH57" s="174">
        <v>23.25</v>
      </c>
    </row>
    <row r="58" spans="1:34" s="139" customFormat="1" ht="16.5" customHeight="1">
      <c r="A58" s="365"/>
      <c r="B58" s="366" t="s">
        <v>80</v>
      </c>
      <c r="C58" s="365" t="s">
        <v>12</v>
      </c>
      <c r="D58" s="150"/>
      <c r="E58" s="456">
        <v>0.6</v>
      </c>
      <c r="F58" s="377">
        <v>0.8</v>
      </c>
      <c r="G58" s="443"/>
      <c r="H58" s="469">
        <v>0.5</v>
      </c>
      <c r="I58" s="443"/>
      <c r="J58" s="443"/>
      <c r="K58" s="443"/>
      <c r="L58" s="443"/>
      <c r="M58" s="443"/>
      <c r="N58" s="443"/>
      <c r="O58" s="377">
        <v>0.3</v>
      </c>
      <c r="P58" s="443"/>
      <c r="Q58" s="443"/>
      <c r="R58" s="514"/>
      <c r="S58" s="140"/>
      <c r="T58" s="133"/>
      <c r="U58" s="132" t="s">
        <v>80</v>
      </c>
      <c r="V58" s="133" t="s">
        <v>12</v>
      </c>
      <c r="W58" s="143">
        <v>4.8</v>
      </c>
      <c r="X58" s="173">
        <v>4.3</v>
      </c>
      <c r="Y58" s="145">
        <f>SUM(Z58:AH58)/9</f>
        <v>3.855555555555556</v>
      </c>
      <c r="Z58" s="174">
        <v>1.8</v>
      </c>
      <c r="AA58" s="174">
        <v>3.2</v>
      </c>
      <c r="AB58" s="174">
        <v>5.3</v>
      </c>
      <c r="AC58" s="174">
        <v>4.2</v>
      </c>
      <c r="AD58" s="174">
        <v>2.7</v>
      </c>
      <c r="AE58" s="131">
        <v>5.7</v>
      </c>
      <c r="AF58" s="174">
        <v>4.1</v>
      </c>
      <c r="AG58" s="131">
        <v>3.7</v>
      </c>
      <c r="AH58" s="174">
        <v>4</v>
      </c>
    </row>
    <row r="59" spans="1:34" s="139" customFormat="1" ht="16.5" customHeight="1">
      <c r="A59" s="365"/>
      <c r="B59" s="366" t="s">
        <v>81</v>
      </c>
      <c r="C59" s="365" t="s">
        <v>12</v>
      </c>
      <c r="D59" s="150"/>
      <c r="E59" s="456">
        <v>0.5</v>
      </c>
      <c r="F59" s="377">
        <v>0.3</v>
      </c>
      <c r="G59" s="377"/>
      <c r="H59" s="469">
        <v>0.6</v>
      </c>
      <c r="I59" s="377"/>
      <c r="J59" s="377"/>
      <c r="K59" s="377"/>
      <c r="L59" s="377"/>
      <c r="M59" s="377"/>
      <c r="N59" s="377"/>
      <c r="O59" s="377">
        <v>0.4</v>
      </c>
      <c r="P59" s="443"/>
      <c r="Q59" s="443"/>
      <c r="R59" s="515"/>
      <c r="S59" s="140"/>
      <c r="T59" s="133"/>
      <c r="U59" s="132" t="s">
        <v>81</v>
      </c>
      <c r="V59" s="133" t="s">
        <v>12</v>
      </c>
      <c r="W59" s="143">
        <v>4.7</v>
      </c>
      <c r="X59" s="173">
        <v>4.6</v>
      </c>
      <c r="Y59" s="145">
        <f>SUM(Z59:AH59)/9</f>
        <v>4.444444444444445</v>
      </c>
      <c r="Z59" s="174">
        <v>2.5</v>
      </c>
      <c r="AA59" s="174">
        <v>4</v>
      </c>
      <c r="AB59" s="174">
        <v>6</v>
      </c>
      <c r="AC59" s="174">
        <v>4</v>
      </c>
      <c r="AD59" s="174">
        <v>4</v>
      </c>
      <c r="AE59" s="131">
        <v>5.5</v>
      </c>
      <c r="AF59" s="174">
        <v>4.5</v>
      </c>
      <c r="AG59" s="131">
        <v>4.5</v>
      </c>
      <c r="AH59" s="174">
        <v>5</v>
      </c>
    </row>
    <row r="60" spans="1:34" s="168" customFormat="1" ht="17.25" customHeight="1">
      <c r="A60" s="371">
        <v>3</v>
      </c>
      <c r="B60" s="372" t="s">
        <v>97</v>
      </c>
      <c r="C60" s="361" t="s">
        <v>583</v>
      </c>
      <c r="D60" s="447">
        <f>D61+D62+D63</f>
        <v>151</v>
      </c>
      <c r="E60" s="447">
        <f>E61+E62+E63</f>
        <v>160</v>
      </c>
      <c r="F60" s="447">
        <f>F61+F62+F63</f>
        <v>4</v>
      </c>
      <c r="G60" s="447">
        <f aca="true" t="shared" si="15" ref="G60:Q60">G61+G62+G63</f>
        <v>30</v>
      </c>
      <c r="H60" s="447">
        <f t="shared" si="15"/>
        <v>7</v>
      </c>
      <c r="I60" s="447">
        <f t="shared" si="15"/>
        <v>32</v>
      </c>
      <c r="J60" s="447">
        <f t="shared" si="15"/>
        <v>24</v>
      </c>
      <c r="K60" s="447">
        <f t="shared" si="15"/>
        <v>24</v>
      </c>
      <c r="L60" s="447">
        <f t="shared" si="15"/>
        <v>9</v>
      </c>
      <c r="M60" s="447">
        <f t="shared" si="15"/>
        <v>7</v>
      </c>
      <c r="N60" s="447">
        <f t="shared" si="15"/>
        <v>6</v>
      </c>
      <c r="O60" s="447">
        <f t="shared" si="15"/>
        <v>4</v>
      </c>
      <c r="P60" s="447">
        <f t="shared" si="15"/>
        <v>7</v>
      </c>
      <c r="Q60" s="447">
        <f t="shared" si="15"/>
        <v>6</v>
      </c>
      <c r="R60" s="664">
        <f aca="true" t="shared" si="16" ref="R60:R65">E60/D60*100</f>
        <v>105.96026490066225</v>
      </c>
      <c r="S60" s="163"/>
      <c r="T60" s="125">
        <v>3</v>
      </c>
      <c r="U60" s="120" t="s">
        <v>97</v>
      </c>
      <c r="V60" s="119" t="s">
        <v>61</v>
      </c>
      <c r="W60" s="166">
        <v>6058</v>
      </c>
      <c r="X60" s="167">
        <f>SUM(X61:X63)</f>
        <v>3904</v>
      </c>
      <c r="Y60" s="124">
        <f aca="true" t="shared" si="17" ref="Y60:Y66">SUM(Z60:AH60)</f>
        <v>3957</v>
      </c>
      <c r="Z60" s="141">
        <f>Z61+Z62+Z63</f>
        <v>280</v>
      </c>
      <c r="AA60" s="141">
        <f aca="true" t="shared" si="18" ref="AA60:AH60">AA61+AA62+AA63</f>
        <v>240</v>
      </c>
      <c r="AB60" s="141">
        <f t="shared" si="18"/>
        <v>848</v>
      </c>
      <c r="AC60" s="141">
        <f t="shared" si="18"/>
        <v>0</v>
      </c>
      <c r="AD60" s="141">
        <f t="shared" si="18"/>
        <v>744</v>
      </c>
      <c r="AE60" s="141">
        <f t="shared" si="18"/>
        <v>400</v>
      </c>
      <c r="AF60" s="141">
        <f t="shared" si="18"/>
        <v>200</v>
      </c>
      <c r="AG60" s="141">
        <f t="shared" si="18"/>
        <v>353</v>
      </c>
      <c r="AH60" s="141">
        <f t="shared" si="18"/>
        <v>892</v>
      </c>
    </row>
    <row r="61" spans="1:34" s="196" customFormat="1" ht="16.5" customHeight="1">
      <c r="A61" s="373"/>
      <c r="B61" s="378" t="s">
        <v>98</v>
      </c>
      <c r="C61" s="365" t="s">
        <v>583</v>
      </c>
      <c r="D61" s="461">
        <v>120</v>
      </c>
      <c r="E61" s="441">
        <f>SUM(F61:Q61)</f>
        <v>80</v>
      </c>
      <c r="F61" s="176"/>
      <c r="G61" s="176">
        <v>20</v>
      </c>
      <c r="H61" s="679"/>
      <c r="I61" s="176">
        <v>20</v>
      </c>
      <c r="J61" s="176">
        <v>20</v>
      </c>
      <c r="K61" s="176">
        <v>20</v>
      </c>
      <c r="L61" s="176"/>
      <c r="M61" s="176"/>
      <c r="N61" s="176"/>
      <c r="O61" s="176"/>
      <c r="P61" s="176"/>
      <c r="Q61" s="176"/>
      <c r="R61" s="741">
        <f t="shared" si="16"/>
        <v>66.66666666666666</v>
      </c>
      <c r="S61" s="169"/>
      <c r="T61" s="131"/>
      <c r="U61" s="192" t="s">
        <v>98</v>
      </c>
      <c r="V61" s="133" t="s">
        <v>61</v>
      </c>
      <c r="W61" s="193">
        <v>1210</v>
      </c>
      <c r="X61" s="194">
        <v>646</v>
      </c>
      <c r="Y61" s="170">
        <f t="shared" si="17"/>
        <v>723</v>
      </c>
      <c r="Z61" s="137">
        <v>0</v>
      </c>
      <c r="AA61" s="137">
        <v>0</v>
      </c>
      <c r="AB61" s="137">
        <v>0</v>
      </c>
      <c r="AC61" s="137">
        <v>0</v>
      </c>
      <c r="AD61" s="137">
        <v>544</v>
      </c>
      <c r="AE61" s="131">
        <v>100</v>
      </c>
      <c r="AF61" s="137">
        <v>0</v>
      </c>
      <c r="AG61" s="195">
        <v>0</v>
      </c>
      <c r="AH61" s="137">
        <v>79</v>
      </c>
    </row>
    <row r="62" spans="1:34" s="196" customFormat="1" ht="16.5" customHeight="1">
      <c r="A62" s="373"/>
      <c r="B62" s="378" t="s">
        <v>99</v>
      </c>
      <c r="C62" s="365" t="s">
        <v>583</v>
      </c>
      <c r="D62" s="461"/>
      <c r="E62" s="441"/>
      <c r="F62" s="176"/>
      <c r="G62" s="176"/>
      <c r="H62" s="679"/>
      <c r="I62" s="176"/>
      <c r="J62" s="176"/>
      <c r="K62" s="176"/>
      <c r="L62" s="176"/>
      <c r="M62" s="176"/>
      <c r="N62" s="176"/>
      <c r="O62" s="176"/>
      <c r="P62" s="176"/>
      <c r="Q62" s="176"/>
      <c r="R62" s="515"/>
      <c r="S62" s="169"/>
      <c r="T62" s="131"/>
      <c r="U62" s="192" t="s">
        <v>99</v>
      </c>
      <c r="V62" s="133" t="s">
        <v>61</v>
      </c>
      <c r="W62" s="193">
        <v>3048</v>
      </c>
      <c r="X62" s="194">
        <v>1561</v>
      </c>
      <c r="Y62" s="170">
        <f t="shared" si="17"/>
        <v>1534</v>
      </c>
      <c r="Z62" s="137">
        <v>0</v>
      </c>
      <c r="AA62" s="137">
        <v>40</v>
      </c>
      <c r="AB62" s="137">
        <v>678</v>
      </c>
      <c r="AC62" s="137">
        <v>0</v>
      </c>
      <c r="AD62" s="137">
        <v>0</v>
      </c>
      <c r="AE62" s="131">
        <v>100</v>
      </c>
      <c r="AF62" s="137">
        <v>0</v>
      </c>
      <c r="AG62" s="131">
        <v>103</v>
      </c>
      <c r="AH62" s="137">
        <v>613</v>
      </c>
    </row>
    <row r="63" spans="1:34" s="196" customFormat="1" ht="16.5" customHeight="1">
      <c r="A63" s="373"/>
      <c r="B63" s="378" t="s">
        <v>100</v>
      </c>
      <c r="C63" s="365" t="s">
        <v>583</v>
      </c>
      <c r="D63" s="441">
        <v>31</v>
      </c>
      <c r="E63" s="441">
        <f>SUM(F63:Q63)</f>
        <v>80</v>
      </c>
      <c r="F63" s="176">
        <v>4</v>
      </c>
      <c r="G63" s="176">
        <v>10</v>
      </c>
      <c r="H63" s="679">
        <v>7</v>
      </c>
      <c r="I63" s="176">
        <v>12</v>
      </c>
      <c r="J63" s="176">
        <v>4</v>
      </c>
      <c r="K63" s="176">
        <v>4</v>
      </c>
      <c r="L63" s="176">
        <v>9</v>
      </c>
      <c r="M63" s="176">
        <v>7</v>
      </c>
      <c r="N63" s="176">
        <v>6</v>
      </c>
      <c r="O63" s="176">
        <v>4</v>
      </c>
      <c r="P63" s="176">
        <v>7</v>
      </c>
      <c r="Q63" s="176">
        <v>6</v>
      </c>
      <c r="R63" s="741">
        <f t="shared" si="16"/>
        <v>258.06451612903226</v>
      </c>
      <c r="S63" s="169"/>
      <c r="T63" s="131"/>
      <c r="U63" s="192" t="s">
        <v>100</v>
      </c>
      <c r="V63" s="133" t="s">
        <v>61</v>
      </c>
      <c r="W63" s="193">
        <v>1800</v>
      </c>
      <c r="X63" s="194">
        <v>1697</v>
      </c>
      <c r="Y63" s="170">
        <f t="shared" si="17"/>
        <v>1700</v>
      </c>
      <c r="Z63" s="137">
        <v>280</v>
      </c>
      <c r="AA63" s="137">
        <v>200</v>
      </c>
      <c r="AB63" s="137">
        <v>170</v>
      </c>
      <c r="AC63" s="137">
        <v>0</v>
      </c>
      <c r="AD63" s="137">
        <v>200</v>
      </c>
      <c r="AE63" s="131">
        <v>200</v>
      </c>
      <c r="AF63" s="137">
        <v>200</v>
      </c>
      <c r="AG63" s="131">
        <v>250</v>
      </c>
      <c r="AH63" s="137">
        <v>200</v>
      </c>
    </row>
    <row r="64" spans="1:34" s="118" customFormat="1" ht="15.75" customHeight="1">
      <c r="A64" s="361" t="s">
        <v>196</v>
      </c>
      <c r="B64" s="362" t="s">
        <v>101</v>
      </c>
      <c r="C64" s="361" t="s">
        <v>583</v>
      </c>
      <c r="D64" s="447">
        <v>210</v>
      </c>
      <c r="E64" s="447">
        <f>E65+E66</f>
        <v>1782</v>
      </c>
      <c r="F64" s="447">
        <f aca="true" t="shared" si="19" ref="F64:Q64">F65+F66</f>
        <v>203</v>
      </c>
      <c r="G64" s="447">
        <f t="shared" si="19"/>
        <v>252</v>
      </c>
      <c r="H64" s="447">
        <f t="shared" si="19"/>
        <v>225</v>
      </c>
      <c r="I64" s="447">
        <f t="shared" si="19"/>
        <v>116</v>
      </c>
      <c r="J64" s="447">
        <f t="shared" si="19"/>
        <v>133</v>
      </c>
      <c r="K64" s="447">
        <f t="shared" si="19"/>
        <v>169</v>
      </c>
      <c r="L64" s="447">
        <f t="shared" si="19"/>
        <v>141</v>
      </c>
      <c r="M64" s="447">
        <f t="shared" si="19"/>
        <v>85</v>
      </c>
      <c r="N64" s="447">
        <f t="shared" si="19"/>
        <v>84</v>
      </c>
      <c r="O64" s="447">
        <f t="shared" si="19"/>
        <v>137</v>
      </c>
      <c r="P64" s="447">
        <f t="shared" si="19"/>
        <v>171</v>
      </c>
      <c r="Q64" s="447">
        <f t="shared" si="19"/>
        <v>66</v>
      </c>
      <c r="R64" s="664">
        <f t="shared" si="16"/>
        <v>848.5714285714286</v>
      </c>
      <c r="S64" s="155"/>
      <c r="T64" s="125" t="s">
        <v>196</v>
      </c>
      <c r="U64" s="120" t="s">
        <v>101</v>
      </c>
      <c r="V64" s="119" t="s">
        <v>61</v>
      </c>
      <c r="W64" s="127">
        <v>5300</v>
      </c>
      <c r="X64" s="128">
        <f>SUM(X65:X66)</f>
        <v>3135</v>
      </c>
      <c r="Y64" s="123">
        <f t="shared" si="17"/>
        <v>5722</v>
      </c>
      <c r="Z64" s="124">
        <f>Z65+Z66</f>
        <v>1774</v>
      </c>
      <c r="AA64" s="124">
        <f aca="true" t="shared" si="20" ref="AA64:AH64">AA65+AA66</f>
        <v>1082</v>
      </c>
      <c r="AB64" s="124">
        <f t="shared" si="20"/>
        <v>486</v>
      </c>
      <c r="AC64" s="124">
        <f t="shared" si="20"/>
        <v>127</v>
      </c>
      <c r="AD64" s="124">
        <f t="shared" si="20"/>
        <v>307</v>
      </c>
      <c r="AE64" s="124">
        <f t="shared" si="20"/>
        <v>337</v>
      </c>
      <c r="AF64" s="124">
        <f t="shared" si="20"/>
        <v>531</v>
      </c>
      <c r="AG64" s="124">
        <f t="shared" si="20"/>
        <v>669</v>
      </c>
      <c r="AH64" s="124">
        <f t="shared" si="20"/>
        <v>409</v>
      </c>
    </row>
    <row r="65" spans="1:144" s="118" customFormat="1" ht="16.5" customHeight="1">
      <c r="A65" s="361"/>
      <c r="B65" s="366" t="s">
        <v>102</v>
      </c>
      <c r="C65" s="365" t="s">
        <v>583</v>
      </c>
      <c r="D65" s="460">
        <v>210</v>
      </c>
      <c r="E65" s="441">
        <f>SUM(F65:Q65)</f>
        <v>1273</v>
      </c>
      <c r="F65" s="292">
        <v>103</v>
      </c>
      <c r="G65" s="292">
        <v>210</v>
      </c>
      <c r="H65" s="680">
        <v>170</v>
      </c>
      <c r="I65" s="292">
        <v>96</v>
      </c>
      <c r="J65" s="292">
        <v>110</v>
      </c>
      <c r="K65" s="292">
        <v>110</v>
      </c>
      <c r="L65" s="292">
        <v>100</v>
      </c>
      <c r="M65" s="292">
        <v>60</v>
      </c>
      <c r="N65" s="292">
        <v>65</v>
      </c>
      <c r="O65" s="292">
        <v>76</v>
      </c>
      <c r="P65" s="292">
        <v>117</v>
      </c>
      <c r="Q65" s="292">
        <v>56</v>
      </c>
      <c r="R65" s="741">
        <f t="shared" si="16"/>
        <v>606.1904761904761</v>
      </c>
      <c r="S65" s="140"/>
      <c r="T65" s="125"/>
      <c r="U65" s="132" t="s">
        <v>102</v>
      </c>
      <c r="V65" s="133" t="s">
        <v>61</v>
      </c>
      <c r="W65" s="134">
        <v>725</v>
      </c>
      <c r="X65" s="135">
        <v>636</v>
      </c>
      <c r="Y65" s="136">
        <f t="shared" si="17"/>
        <v>658</v>
      </c>
      <c r="Z65" s="197">
        <v>658</v>
      </c>
      <c r="AA65" s="198">
        <v>0</v>
      </c>
      <c r="AB65" s="198">
        <v>0</v>
      </c>
      <c r="AC65" s="198">
        <v>0</v>
      </c>
      <c r="AD65" s="198">
        <v>0</v>
      </c>
      <c r="AE65" s="198">
        <v>0</v>
      </c>
      <c r="AF65" s="198">
        <v>0</v>
      </c>
      <c r="AG65" s="198">
        <v>0</v>
      </c>
      <c r="AH65" s="198">
        <v>0</v>
      </c>
      <c r="AI65" s="139"/>
      <c r="AJ65" s="139"/>
      <c r="AK65" s="139"/>
      <c r="AL65" s="139"/>
      <c r="AM65" s="139"/>
      <c r="AN65" s="139"/>
      <c r="AO65" s="139"/>
      <c r="AP65" s="139"/>
      <c r="AQ65" s="139"/>
      <c r="AR65" s="139"/>
      <c r="AS65" s="139"/>
      <c r="AT65" s="139"/>
      <c r="AU65" s="139"/>
      <c r="AV65" s="139"/>
      <c r="AW65" s="139"/>
      <c r="AX65" s="139"/>
      <c r="AY65" s="139"/>
      <c r="AZ65" s="139"/>
      <c r="BA65" s="139"/>
      <c r="BB65" s="139"/>
      <c r="BC65" s="139"/>
      <c r="BD65" s="139"/>
      <c r="BE65" s="139"/>
      <c r="BF65" s="139"/>
      <c r="BG65" s="139"/>
      <c r="BH65" s="139"/>
      <c r="BI65" s="139"/>
      <c r="BJ65" s="139"/>
      <c r="BK65" s="139"/>
      <c r="BL65" s="139"/>
      <c r="BM65" s="139"/>
      <c r="BN65" s="139"/>
      <c r="BO65" s="139"/>
      <c r="BP65" s="139"/>
      <c r="BQ65" s="139"/>
      <c r="BR65" s="139"/>
      <c r="BS65" s="139"/>
      <c r="BT65" s="139"/>
      <c r="BU65" s="139"/>
      <c r="BV65" s="139"/>
      <c r="BW65" s="139"/>
      <c r="BX65" s="139"/>
      <c r="BY65" s="139"/>
      <c r="BZ65" s="139"/>
      <c r="CA65" s="139"/>
      <c r="CB65" s="139"/>
      <c r="CC65" s="139"/>
      <c r="CD65" s="139"/>
      <c r="CE65" s="139"/>
      <c r="CF65" s="139"/>
      <c r="CG65" s="139"/>
      <c r="CH65" s="139"/>
      <c r="CI65" s="139"/>
      <c r="CJ65" s="139"/>
      <c r="CK65" s="139"/>
      <c r="CL65" s="139"/>
      <c r="CM65" s="139"/>
      <c r="CN65" s="139"/>
      <c r="CO65" s="139"/>
      <c r="CP65" s="139"/>
      <c r="CQ65" s="139"/>
      <c r="CR65" s="139"/>
      <c r="CS65" s="139"/>
      <c r="CT65" s="139"/>
      <c r="CU65" s="139"/>
      <c r="CV65" s="139"/>
      <c r="CW65" s="139"/>
      <c r="CX65" s="139"/>
      <c r="CY65" s="139"/>
      <c r="CZ65" s="139"/>
      <c r="DA65" s="139"/>
      <c r="DB65" s="139"/>
      <c r="DC65" s="139"/>
      <c r="DD65" s="139"/>
      <c r="DE65" s="139"/>
      <c r="DF65" s="139"/>
      <c r="DG65" s="139"/>
      <c r="DH65" s="139"/>
      <c r="DI65" s="139"/>
      <c r="DJ65" s="139"/>
      <c r="DK65" s="139"/>
      <c r="DL65" s="139"/>
      <c r="DM65" s="139"/>
      <c r="DN65" s="139"/>
      <c r="DO65" s="139"/>
      <c r="DP65" s="139"/>
      <c r="DQ65" s="139"/>
      <c r="DR65" s="139"/>
      <c r="DS65" s="139"/>
      <c r="DT65" s="139"/>
      <c r="DU65" s="139"/>
      <c r="DV65" s="139"/>
      <c r="DW65" s="139"/>
      <c r="DX65" s="139"/>
      <c r="DY65" s="139"/>
      <c r="DZ65" s="139"/>
      <c r="EA65" s="139"/>
      <c r="EB65" s="139"/>
      <c r="EC65" s="139"/>
      <c r="ED65" s="139"/>
      <c r="EE65" s="139"/>
      <c r="EF65" s="139"/>
      <c r="EG65" s="139"/>
      <c r="EH65" s="139"/>
      <c r="EI65" s="139"/>
      <c r="EJ65" s="139"/>
      <c r="EK65" s="139"/>
      <c r="EL65" s="139"/>
      <c r="EM65" s="139"/>
      <c r="EN65" s="139"/>
    </row>
    <row r="66" spans="1:34" s="139" customFormat="1" ht="16.5" customHeight="1">
      <c r="A66" s="361"/>
      <c r="B66" s="366" t="s">
        <v>103</v>
      </c>
      <c r="C66" s="365" t="s">
        <v>583</v>
      </c>
      <c r="D66" s="441"/>
      <c r="E66" s="441">
        <f>SUM(F66:Q66)</f>
        <v>509</v>
      </c>
      <c r="F66" s="441">
        <v>100</v>
      </c>
      <c r="G66" s="441">
        <v>42</v>
      </c>
      <c r="H66" s="441">
        <v>55</v>
      </c>
      <c r="I66" s="441">
        <v>20</v>
      </c>
      <c r="J66" s="441">
        <v>23</v>
      </c>
      <c r="K66" s="441">
        <v>59</v>
      </c>
      <c r="L66" s="441">
        <v>41</v>
      </c>
      <c r="M66" s="441">
        <v>25</v>
      </c>
      <c r="N66" s="441">
        <v>19</v>
      </c>
      <c r="O66" s="441">
        <v>61</v>
      </c>
      <c r="P66" s="441">
        <v>54</v>
      </c>
      <c r="Q66" s="441">
        <v>10</v>
      </c>
      <c r="R66" s="515"/>
      <c r="S66" s="140"/>
      <c r="T66" s="125"/>
      <c r="U66" s="132" t="s">
        <v>103</v>
      </c>
      <c r="V66" s="133" t="s">
        <v>61</v>
      </c>
      <c r="W66" s="134">
        <v>4575</v>
      </c>
      <c r="X66" s="135">
        <f>3135-636</f>
        <v>2499</v>
      </c>
      <c r="Y66" s="136">
        <f t="shared" si="17"/>
        <v>5064</v>
      </c>
      <c r="Z66" s="197">
        <v>1116</v>
      </c>
      <c r="AA66" s="197">
        <v>1082</v>
      </c>
      <c r="AB66" s="197">
        <v>486</v>
      </c>
      <c r="AC66" s="197">
        <v>127</v>
      </c>
      <c r="AD66" s="167">
        <v>307</v>
      </c>
      <c r="AE66" s="131">
        <v>337</v>
      </c>
      <c r="AF66" s="197">
        <v>531</v>
      </c>
      <c r="AG66" s="131">
        <v>669</v>
      </c>
      <c r="AH66" s="197">
        <v>409</v>
      </c>
    </row>
    <row r="67" spans="1:34" s="118" customFormat="1" ht="16.5" customHeight="1">
      <c r="A67" s="361" t="s">
        <v>197</v>
      </c>
      <c r="B67" s="362" t="s">
        <v>104</v>
      </c>
      <c r="C67" s="361"/>
      <c r="D67" s="459"/>
      <c r="E67" s="461"/>
      <c r="F67" s="460"/>
      <c r="G67" s="460"/>
      <c r="H67" s="368"/>
      <c r="I67" s="460"/>
      <c r="J67" s="460"/>
      <c r="K67" s="460"/>
      <c r="L67" s="460"/>
      <c r="M67" s="460"/>
      <c r="N67" s="460"/>
      <c r="O67" s="460"/>
      <c r="P67" s="460"/>
      <c r="Q67" s="460"/>
      <c r="R67" s="515"/>
      <c r="S67" s="155"/>
      <c r="T67" s="125" t="s">
        <v>197</v>
      </c>
      <c r="U67" s="120" t="s">
        <v>104</v>
      </c>
      <c r="V67" s="119"/>
      <c r="W67" s="127"/>
      <c r="X67" s="128"/>
      <c r="Y67" s="123"/>
      <c r="Z67" s="199"/>
      <c r="AA67" s="199"/>
      <c r="AB67" s="199"/>
      <c r="AC67" s="199"/>
      <c r="AD67" s="167">
        <v>0</v>
      </c>
      <c r="AE67" s="125"/>
      <c r="AF67" s="199"/>
      <c r="AG67" s="125"/>
      <c r="AH67" s="199"/>
    </row>
    <row r="68" spans="1:18" s="139" customFormat="1" ht="22.5" customHeight="1">
      <c r="A68" s="365">
        <v>1</v>
      </c>
      <c r="B68" s="379" t="s">
        <v>632</v>
      </c>
      <c r="C68" s="365" t="s">
        <v>105</v>
      </c>
      <c r="D68" s="441">
        <v>12</v>
      </c>
      <c r="E68" s="441">
        <f aca="true" t="shared" si="21" ref="E68:E74">SUM(F68:Q68)</f>
        <v>12</v>
      </c>
      <c r="F68" s="441">
        <v>1</v>
      </c>
      <c r="G68" s="441">
        <v>1</v>
      </c>
      <c r="H68" s="441">
        <v>1</v>
      </c>
      <c r="I68" s="441">
        <v>1</v>
      </c>
      <c r="J68" s="441">
        <v>1</v>
      </c>
      <c r="K68" s="441">
        <v>1</v>
      </c>
      <c r="L68" s="441">
        <v>1</v>
      </c>
      <c r="M68" s="441">
        <v>1</v>
      </c>
      <c r="N68" s="441">
        <v>1</v>
      </c>
      <c r="O68" s="441">
        <v>1</v>
      </c>
      <c r="P68" s="441">
        <v>1</v>
      </c>
      <c r="Q68" s="441">
        <v>1</v>
      </c>
      <c r="R68" s="742">
        <f aca="true" t="shared" si="22" ref="R68:R78">E68/D68*100</f>
        <v>100</v>
      </c>
    </row>
    <row r="69" spans="1:18" s="139" customFormat="1" ht="22.5" customHeight="1">
      <c r="A69" s="380" t="s">
        <v>273</v>
      </c>
      <c r="B69" s="379" t="s">
        <v>633</v>
      </c>
      <c r="C69" s="365" t="s">
        <v>105</v>
      </c>
      <c r="D69" s="441">
        <v>12</v>
      </c>
      <c r="E69" s="441">
        <f t="shared" si="21"/>
        <v>12</v>
      </c>
      <c r="F69" s="441">
        <v>1</v>
      </c>
      <c r="G69" s="441">
        <v>1</v>
      </c>
      <c r="H69" s="441">
        <v>1</v>
      </c>
      <c r="I69" s="441">
        <v>1</v>
      </c>
      <c r="J69" s="441">
        <v>1</v>
      </c>
      <c r="K69" s="441">
        <v>1</v>
      </c>
      <c r="L69" s="441">
        <v>1</v>
      </c>
      <c r="M69" s="441">
        <v>1</v>
      </c>
      <c r="N69" s="441">
        <v>1</v>
      </c>
      <c r="O69" s="441">
        <v>1</v>
      </c>
      <c r="P69" s="441">
        <v>1</v>
      </c>
      <c r="Q69" s="441">
        <v>1</v>
      </c>
      <c r="R69" s="742">
        <f t="shared" si="22"/>
        <v>100</v>
      </c>
    </row>
    <row r="70" spans="1:18" s="139" customFormat="1" ht="22.5" customHeight="1">
      <c r="A70" s="365">
        <v>3</v>
      </c>
      <c r="B70" s="379" t="s">
        <v>634</v>
      </c>
      <c r="C70" s="365" t="s">
        <v>105</v>
      </c>
      <c r="D70" s="441">
        <v>12</v>
      </c>
      <c r="E70" s="441">
        <f t="shared" si="21"/>
        <v>12</v>
      </c>
      <c r="F70" s="441">
        <v>1</v>
      </c>
      <c r="G70" s="441">
        <v>1</v>
      </c>
      <c r="H70" s="441">
        <v>1</v>
      </c>
      <c r="I70" s="441">
        <v>1</v>
      </c>
      <c r="J70" s="441">
        <v>1</v>
      </c>
      <c r="K70" s="441">
        <v>1</v>
      </c>
      <c r="L70" s="441">
        <v>1</v>
      </c>
      <c r="M70" s="441">
        <v>1</v>
      </c>
      <c r="N70" s="441">
        <v>1</v>
      </c>
      <c r="O70" s="441">
        <v>1</v>
      </c>
      <c r="P70" s="441">
        <v>1</v>
      </c>
      <c r="Q70" s="441">
        <v>1</v>
      </c>
      <c r="R70" s="742">
        <f t="shared" si="22"/>
        <v>100</v>
      </c>
    </row>
    <row r="71" spans="1:18" s="139" customFormat="1" ht="22.5" customHeight="1">
      <c r="A71" s="380" t="s">
        <v>258</v>
      </c>
      <c r="B71" s="379" t="s">
        <v>635</v>
      </c>
      <c r="C71" s="365" t="s">
        <v>105</v>
      </c>
      <c r="D71" s="441">
        <v>6</v>
      </c>
      <c r="E71" s="441">
        <f t="shared" si="21"/>
        <v>8</v>
      </c>
      <c r="F71" s="441">
        <v>1</v>
      </c>
      <c r="G71" s="441">
        <v>1</v>
      </c>
      <c r="H71" s="441">
        <v>1</v>
      </c>
      <c r="I71" s="441"/>
      <c r="J71" s="441">
        <v>1</v>
      </c>
      <c r="K71" s="441">
        <v>1</v>
      </c>
      <c r="L71" s="441">
        <v>1</v>
      </c>
      <c r="M71" s="441">
        <v>1</v>
      </c>
      <c r="N71" s="441"/>
      <c r="O71" s="441">
        <v>1</v>
      </c>
      <c r="P71" s="441"/>
      <c r="Q71" s="441"/>
      <c r="R71" s="741">
        <f t="shared" si="22"/>
        <v>133.33333333333331</v>
      </c>
    </row>
    <row r="72" spans="1:18" s="139" customFormat="1" ht="22.5" customHeight="1">
      <c r="A72" s="365">
        <v>5</v>
      </c>
      <c r="B72" s="379" t="s">
        <v>636</v>
      </c>
      <c r="C72" s="365" t="s">
        <v>105</v>
      </c>
      <c r="D72" s="441">
        <v>12</v>
      </c>
      <c r="E72" s="441">
        <f t="shared" si="21"/>
        <v>12</v>
      </c>
      <c r="F72" s="441">
        <v>1</v>
      </c>
      <c r="G72" s="441">
        <v>1</v>
      </c>
      <c r="H72" s="441">
        <v>1</v>
      </c>
      <c r="I72" s="441">
        <v>1</v>
      </c>
      <c r="J72" s="441">
        <v>1</v>
      </c>
      <c r="K72" s="441">
        <v>1</v>
      </c>
      <c r="L72" s="441">
        <v>1</v>
      </c>
      <c r="M72" s="441">
        <v>1</v>
      </c>
      <c r="N72" s="441">
        <v>1</v>
      </c>
      <c r="O72" s="441">
        <v>1</v>
      </c>
      <c r="P72" s="441">
        <v>1</v>
      </c>
      <c r="Q72" s="441">
        <v>1</v>
      </c>
      <c r="R72" s="742">
        <f t="shared" si="22"/>
        <v>100</v>
      </c>
    </row>
    <row r="73" spans="1:18" s="139" customFormat="1" ht="22.5" customHeight="1">
      <c r="A73" s="380" t="s">
        <v>278</v>
      </c>
      <c r="B73" s="379" t="s">
        <v>637</v>
      </c>
      <c r="C73" s="365" t="s">
        <v>105</v>
      </c>
      <c r="D73" s="441">
        <v>10</v>
      </c>
      <c r="E73" s="441">
        <f t="shared" si="21"/>
        <v>12</v>
      </c>
      <c r="F73" s="441">
        <v>1</v>
      </c>
      <c r="G73" s="441">
        <v>1</v>
      </c>
      <c r="H73" s="441">
        <v>1</v>
      </c>
      <c r="I73" s="441">
        <v>1</v>
      </c>
      <c r="J73" s="441">
        <v>1</v>
      </c>
      <c r="K73" s="441">
        <v>1</v>
      </c>
      <c r="L73" s="441">
        <v>1</v>
      </c>
      <c r="M73" s="441">
        <v>1</v>
      </c>
      <c r="N73" s="441">
        <v>1</v>
      </c>
      <c r="O73" s="441">
        <v>1</v>
      </c>
      <c r="P73" s="441">
        <v>1</v>
      </c>
      <c r="Q73" s="441">
        <v>1</v>
      </c>
      <c r="R73" s="742">
        <f t="shared" si="22"/>
        <v>120</v>
      </c>
    </row>
    <row r="74" spans="1:18" s="139" customFormat="1" ht="22.5" customHeight="1">
      <c r="A74" s="365">
        <v>7</v>
      </c>
      <c r="B74" s="379" t="s">
        <v>638</v>
      </c>
      <c r="C74" s="365" t="s">
        <v>105</v>
      </c>
      <c r="D74" s="441">
        <v>4</v>
      </c>
      <c r="E74" s="441">
        <f t="shared" si="21"/>
        <v>4</v>
      </c>
      <c r="F74" s="441">
        <v>1</v>
      </c>
      <c r="G74" s="441">
        <v>1</v>
      </c>
      <c r="H74" s="441"/>
      <c r="I74" s="441">
        <v>1</v>
      </c>
      <c r="J74" s="441"/>
      <c r="K74" s="441"/>
      <c r="L74" s="441"/>
      <c r="M74" s="441"/>
      <c r="N74" s="441"/>
      <c r="O74" s="441">
        <v>1</v>
      </c>
      <c r="P74" s="441"/>
      <c r="Q74" s="441"/>
      <c r="R74" s="742">
        <f t="shared" si="22"/>
        <v>100</v>
      </c>
    </row>
    <row r="75" spans="1:18" s="139" customFormat="1" ht="22.5" customHeight="1">
      <c r="A75" s="380" t="s">
        <v>279</v>
      </c>
      <c r="B75" s="379" t="s">
        <v>343</v>
      </c>
      <c r="C75" s="365" t="s">
        <v>105</v>
      </c>
      <c r="D75" s="441">
        <v>12</v>
      </c>
      <c r="E75" s="441">
        <f>SUM(F75:Q75)</f>
        <v>12</v>
      </c>
      <c r="F75" s="441">
        <v>1</v>
      </c>
      <c r="G75" s="441">
        <v>1</v>
      </c>
      <c r="H75" s="441">
        <v>1</v>
      </c>
      <c r="I75" s="441">
        <v>1</v>
      </c>
      <c r="J75" s="441">
        <v>1</v>
      </c>
      <c r="K75" s="441">
        <v>1</v>
      </c>
      <c r="L75" s="441">
        <v>1</v>
      </c>
      <c r="M75" s="441">
        <v>1</v>
      </c>
      <c r="N75" s="441">
        <v>1</v>
      </c>
      <c r="O75" s="441">
        <v>1</v>
      </c>
      <c r="P75" s="441">
        <v>1</v>
      </c>
      <c r="Q75" s="441">
        <v>1</v>
      </c>
      <c r="R75" s="742">
        <f>E75/D75*100</f>
        <v>100</v>
      </c>
    </row>
    <row r="76" spans="1:18" s="139" customFormat="1" ht="22.5" customHeight="1">
      <c r="A76" s="365">
        <v>9</v>
      </c>
      <c r="B76" s="379" t="s">
        <v>344</v>
      </c>
      <c r="C76" s="365" t="s">
        <v>105</v>
      </c>
      <c r="D76" s="441">
        <v>7</v>
      </c>
      <c r="E76" s="441">
        <f>SUM(F76:Q76)</f>
        <v>12</v>
      </c>
      <c r="F76" s="441">
        <v>1</v>
      </c>
      <c r="G76" s="441">
        <v>1</v>
      </c>
      <c r="H76" s="441">
        <v>1</v>
      </c>
      <c r="I76" s="441">
        <v>1</v>
      </c>
      <c r="J76" s="441">
        <v>1</v>
      </c>
      <c r="K76" s="441">
        <v>1</v>
      </c>
      <c r="L76" s="441">
        <v>1</v>
      </c>
      <c r="M76" s="441">
        <v>1</v>
      </c>
      <c r="N76" s="441">
        <v>1</v>
      </c>
      <c r="O76" s="441">
        <v>1</v>
      </c>
      <c r="P76" s="441">
        <v>1</v>
      </c>
      <c r="Q76" s="441">
        <v>1</v>
      </c>
      <c r="R76" s="741">
        <f t="shared" si="22"/>
        <v>171.42857142857142</v>
      </c>
    </row>
    <row r="77" spans="1:34" s="118" customFormat="1" ht="16.5" customHeight="1">
      <c r="A77" s="361" t="s">
        <v>106</v>
      </c>
      <c r="B77" s="362" t="s">
        <v>107</v>
      </c>
      <c r="C77" s="361" t="s">
        <v>108</v>
      </c>
      <c r="D77" s="447">
        <f>D78+D80+D92</f>
        <v>42</v>
      </c>
      <c r="E77" s="447">
        <f>E78+E80+E92</f>
        <v>42</v>
      </c>
      <c r="F77" s="447">
        <f aca="true" t="shared" si="23" ref="F77:Q77">F78+F80+F92</f>
        <v>8</v>
      </c>
      <c r="G77" s="447">
        <f t="shared" si="23"/>
        <v>3</v>
      </c>
      <c r="H77" s="447">
        <f t="shared" si="23"/>
        <v>3</v>
      </c>
      <c r="I77" s="447">
        <f t="shared" si="23"/>
        <v>3</v>
      </c>
      <c r="J77" s="447">
        <f t="shared" si="23"/>
        <v>5</v>
      </c>
      <c r="K77" s="447">
        <f t="shared" si="23"/>
        <v>4</v>
      </c>
      <c r="L77" s="447">
        <f t="shared" si="23"/>
        <v>3</v>
      </c>
      <c r="M77" s="447">
        <f t="shared" si="23"/>
        <v>3</v>
      </c>
      <c r="N77" s="447">
        <f t="shared" si="23"/>
        <v>2</v>
      </c>
      <c r="O77" s="447">
        <f t="shared" si="23"/>
        <v>3</v>
      </c>
      <c r="P77" s="447">
        <f t="shared" si="23"/>
        <v>3</v>
      </c>
      <c r="Q77" s="447">
        <f t="shared" si="23"/>
        <v>2</v>
      </c>
      <c r="R77" s="364">
        <f t="shared" si="22"/>
        <v>100</v>
      </c>
      <c r="S77" s="155"/>
      <c r="T77" s="125" t="s">
        <v>106</v>
      </c>
      <c r="U77" s="120" t="s">
        <v>107</v>
      </c>
      <c r="V77" s="119" t="s">
        <v>108</v>
      </c>
      <c r="W77" s="127" t="e">
        <f>W78+W80+W92+#REF!+W93</f>
        <v>#REF!</v>
      </c>
      <c r="X77" s="188" t="e">
        <f>X78+X80+X92+#REF!+X93</f>
        <v>#REF!</v>
      </c>
      <c r="Y77" s="189" t="e">
        <f>Y78+Y80+Y92+#REF!+Y93</f>
        <v>#REF!</v>
      </c>
      <c r="Z77" s="166" t="e">
        <f>Z78+Z80+Z92+#REF!+Z93</f>
        <v>#REF!</v>
      </c>
      <c r="AA77" s="166" t="e">
        <f>AA78+AA80+AA92+#REF!+AA93</f>
        <v>#REF!</v>
      </c>
      <c r="AB77" s="166" t="e">
        <f>AB78+AB80+AB92+#REF!+AB93</f>
        <v>#REF!</v>
      </c>
      <c r="AC77" s="166" t="e">
        <f>AC78+AC80+AC92+#REF!+AC93</f>
        <v>#REF!</v>
      </c>
      <c r="AD77" s="166" t="e">
        <f>AD78+AD80+AD92+#REF!+AD93</f>
        <v>#REF!</v>
      </c>
      <c r="AE77" s="166" t="e">
        <f>AE78+AE80+AE92+#REF!+AE93</f>
        <v>#REF!</v>
      </c>
      <c r="AF77" s="166" t="e">
        <f>AF78+AF80+AF92+#REF!+AF93</f>
        <v>#REF!</v>
      </c>
      <c r="AG77" s="166" t="e">
        <f>AG78+AG80+AG92+#REF!+AG93</f>
        <v>#REF!</v>
      </c>
      <c r="AH77" s="166" t="e">
        <f>AH78+AH80+AH92+#REF!+AH93</f>
        <v>#REF!</v>
      </c>
    </row>
    <row r="78" spans="1:34" s="118" customFormat="1" ht="16.5" customHeight="1">
      <c r="A78" s="361">
        <v>1</v>
      </c>
      <c r="B78" s="362" t="s">
        <v>109</v>
      </c>
      <c r="C78" s="361" t="s">
        <v>95</v>
      </c>
      <c r="D78" s="447">
        <v>14</v>
      </c>
      <c r="E78" s="447">
        <f>SUM(F78:Q78)</f>
        <v>14</v>
      </c>
      <c r="F78" s="447">
        <v>2</v>
      </c>
      <c r="G78" s="447">
        <v>1</v>
      </c>
      <c r="H78" s="447">
        <v>1</v>
      </c>
      <c r="I78" s="447">
        <v>1</v>
      </c>
      <c r="J78" s="447">
        <v>2</v>
      </c>
      <c r="K78" s="447">
        <v>1</v>
      </c>
      <c r="L78" s="447">
        <v>1</v>
      </c>
      <c r="M78" s="447">
        <v>1</v>
      </c>
      <c r="N78" s="447">
        <v>1</v>
      </c>
      <c r="O78" s="447">
        <v>1</v>
      </c>
      <c r="P78" s="447">
        <v>1</v>
      </c>
      <c r="Q78" s="447">
        <v>1</v>
      </c>
      <c r="R78" s="364">
        <f t="shared" si="22"/>
        <v>100</v>
      </c>
      <c r="S78" s="155"/>
      <c r="T78" s="200">
        <v>1</v>
      </c>
      <c r="U78" s="120" t="s">
        <v>109</v>
      </c>
      <c r="V78" s="119" t="s">
        <v>95</v>
      </c>
      <c r="W78" s="127">
        <v>145</v>
      </c>
      <c r="X78" s="128">
        <v>151</v>
      </c>
      <c r="Y78" s="123">
        <f aca="true" t="shared" si="24" ref="Y78:Y92">SUM(Z78:AH78)</f>
        <v>155</v>
      </c>
      <c r="Z78" s="141">
        <v>15</v>
      </c>
      <c r="AA78" s="141">
        <v>29</v>
      </c>
      <c r="AB78" s="141">
        <v>19</v>
      </c>
      <c r="AC78" s="141">
        <v>5</v>
      </c>
      <c r="AD78" s="167">
        <v>18</v>
      </c>
      <c r="AE78" s="125">
        <v>18</v>
      </c>
      <c r="AF78" s="141">
        <v>11</v>
      </c>
      <c r="AG78" s="125">
        <v>25</v>
      </c>
      <c r="AH78" s="141">
        <v>15</v>
      </c>
    </row>
    <row r="79" spans="1:34" s="201" customFormat="1" ht="16.5" customHeight="1">
      <c r="A79" s="365"/>
      <c r="B79" s="376" t="s">
        <v>110</v>
      </c>
      <c r="C79" s="365" t="s">
        <v>95</v>
      </c>
      <c r="D79" s="443">
        <v>4</v>
      </c>
      <c r="E79" s="443">
        <f>SUM(F79:Q79)</f>
        <v>4</v>
      </c>
      <c r="F79" s="443">
        <v>2</v>
      </c>
      <c r="G79" s="443">
        <v>1</v>
      </c>
      <c r="H79" s="443"/>
      <c r="I79" s="443"/>
      <c r="J79" s="443">
        <v>1</v>
      </c>
      <c r="K79" s="443"/>
      <c r="L79" s="443"/>
      <c r="M79" s="443"/>
      <c r="N79" s="443"/>
      <c r="O79" s="443"/>
      <c r="P79" s="443"/>
      <c r="Q79" s="443"/>
      <c r="R79" s="742">
        <f>E79/D79*100</f>
        <v>100</v>
      </c>
      <c r="S79" s="140"/>
      <c r="T79" s="179"/>
      <c r="U79" s="192" t="s">
        <v>110</v>
      </c>
      <c r="V79" s="133" t="s">
        <v>95</v>
      </c>
      <c r="W79" s="134">
        <v>24</v>
      </c>
      <c r="X79" s="135">
        <v>27</v>
      </c>
      <c r="Y79" s="136">
        <f t="shared" si="24"/>
        <v>41</v>
      </c>
      <c r="Z79" s="137">
        <v>7</v>
      </c>
      <c r="AA79" s="137">
        <v>12</v>
      </c>
      <c r="AB79" s="137">
        <v>4</v>
      </c>
      <c r="AC79" s="137">
        <v>2</v>
      </c>
      <c r="AD79" s="137">
        <v>3</v>
      </c>
      <c r="AE79" s="131">
        <v>1</v>
      </c>
      <c r="AF79" s="137">
        <v>3</v>
      </c>
      <c r="AG79" s="131">
        <v>7</v>
      </c>
      <c r="AH79" s="137">
        <v>2</v>
      </c>
    </row>
    <row r="80" spans="1:34" s="118" customFormat="1" ht="16.5" customHeight="1">
      <c r="A80" s="361">
        <v>2</v>
      </c>
      <c r="B80" s="362" t="s">
        <v>111</v>
      </c>
      <c r="C80" s="361"/>
      <c r="D80" s="447">
        <f>D84+D87+D90</f>
        <v>27</v>
      </c>
      <c r="E80" s="447">
        <f>SUM(F80:Q80)</f>
        <v>27</v>
      </c>
      <c r="F80" s="447">
        <f aca="true" t="shared" si="25" ref="F80:P80">F84+F87+F90</f>
        <v>5</v>
      </c>
      <c r="G80" s="447">
        <f t="shared" si="25"/>
        <v>2</v>
      </c>
      <c r="H80" s="447">
        <f t="shared" si="25"/>
        <v>2</v>
      </c>
      <c r="I80" s="447">
        <f t="shared" si="25"/>
        <v>2</v>
      </c>
      <c r="J80" s="447">
        <f t="shared" si="25"/>
        <v>3</v>
      </c>
      <c r="K80" s="447">
        <f t="shared" si="25"/>
        <v>3</v>
      </c>
      <c r="L80" s="447">
        <f t="shared" si="25"/>
        <v>2</v>
      </c>
      <c r="M80" s="447">
        <f t="shared" si="25"/>
        <v>2</v>
      </c>
      <c r="N80" s="447">
        <v>1</v>
      </c>
      <c r="O80" s="447">
        <f t="shared" si="25"/>
        <v>2</v>
      </c>
      <c r="P80" s="447">
        <f t="shared" si="25"/>
        <v>2</v>
      </c>
      <c r="Q80" s="447">
        <v>1</v>
      </c>
      <c r="R80" s="742">
        <f>E80/D80*100</f>
        <v>100</v>
      </c>
      <c r="S80" s="155"/>
      <c r="T80" s="125">
        <v>2</v>
      </c>
      <c r="U80" s="120" t="s">
        <v>111</v>
      </c>
      <c r="V80" s="119"/>
      <c r="W80" s="202">
        <f>W84+W87+W90</f>
        <v>314</v>
      </c>
      <c r="X80" s="203">
        <f>X84+X87+X90</f>
        <v>317</v>
      </c>
      <c r="Y80" s="123">
        <f t="shared" si="24"/>
        <v>326</v>
      </c>
      <c r="Z80" s="204">
        <f aca="true" t="shared" si="26" ref="Z80:AH80">Z84+Z87+Z90</f>
        <v>24</v>
      </c>
      <c r="AA80" s="204">
        <f t="shared" si="26"/>
        <v>62</v>
      </c>
      <c r="AB80" s="204">
        <f t="shared" si="26"/>
        <v>41</v>
      </c>
      <c r="AC80" s="204">
        <f t="shared" si="26"/>
        <v>11</v>
      </c>
      <c r="AD80" s="204">
        <f t="shared" si="26"/>
        <v>42</v>
      </c>
      <c r="AE80" s="204">
        <f t="shared" si="26"/>
        <v>42</v>
      </c>
      <c r="AF80" s="204">
        <f t="shared" si="26"/>
        <v>26</v>
      </c>
      <c r="AG80" s="204">
        <f t="shared" si="26"/>
        <v>47</v>
      </c>
      <c r="AH80" s="204">
        <f t="shared" si="26"/>
        <v>31</v>
      </c>
    </row>
    <row r="81" spans="1:34" s="139" customFormat="1" ht="18.75" customHeight="1">
      <c r="A81" s="365"/>
      <c r="B81" s="376" t="s">
        <v>368</v>
      </c>
      <c r="C81" s="365" t="s">
        <v>95</v>
      </c>
      <c r="D81" s="441">
        <v>1</v>
      </c>
      <c r="E81" s="441">
        <v>1</v>
      </c>
      <c r="F81" s="441">
        <v>1</v>
      </c>
      <c r="G81" s="441"/>
      <c r="H81" s="441"/>
      <c r="I81" s="441"/>
      <c r="J81" s="441"/>
      <c r="K81" s="441"/>
      <c r="L81" s="441"/>
      <c r="M81" s="441"/>
      <c r="N81" s="441"/>
      <c r="O81" s="441"/>
      <c r="P81" s="441"/>
      <c r="Q81" s="441"/>
      <c r="R81" s="742">
        <f aca="true" t="shared" si="27" ref="R81:R91">E81/D81*100</f>
        <v>100</v>
      </c>
      <c r="S81" s="140"/>
      <c r="T81" s="131"/>
      <c r="U81" s="192" t="s">
        <v>112</v>
      </c>
      <c r="V81" s="133" t="s">
        <v>95</v>
      </c>
      <c r="W81" s="134">
        <v>8</v>
      </c>
      <c r="X81" s="135">
        <v>8</v>
      </c>
      <c r="Y81" s="123">
        <f t="shared" si="24"/>
        <v>8</v>
      </c>
      <c r="Z81" s="205">
        <v>1</v>
      </c>
      <c r="AA81" s="205">
        <v>1</v>
      </c>
      <c r="AB81" s="205">
        <v>1</v>
      </c>
      <c r="AC81" s="205">
        <v>0</v>
      </c>
      <c r="AD81" s="205">
        <v>1</v>
      </c>
      <c r="AE81" s="205">
        <v>1</v>
      </c>
      <c r="AF81" s="205">
        <v>1</v>
      </c>
      <c r="AG81" s="205">
        <v>1</v>
      </c>
      <c r="AH81" s="205">
        <v>1</v>
      </c>
    </row>
    <row r="82" spans="1:34" s="201" customFormat="1" ht="16.5" customHeight="1">
      <c r="A82" s="365"/>
      <c r="B82" s="379" t="s">
        <v>661</v>
      </c>
      <c r="C82" s="365" t="s">
        <v>95</v>
      </c>
      <c r="D82" s="441">
        <f>D85+D88+D91</f>
        <v>13</v>
      </c>
      <c r="E82" s="441">
        <f>SUM(F82:Q82)</f>
        <v>13</v>
      </c>
      <c r="F82" s="441">
        <f>F85+F88+F91</f>
        <v>5</v>
      </c>
      <c r="G82" s="441">
        <f aca="true" t="shared" si="28" ref="G82:O82">G85+G88+G91</f>
        <v>2</v>
      </c>
      <c r="H82" s="441"/>
      <c r="I82" s="441">
        <f t="shared" si="28"/>
        <v>1</v>
      </c>
      <c r="J82" s="441">
        <f t="shared" si="28"/>
        <v>2</v>
      </c>
      <c r="K82" s="441">
        <f t="shared" si="28"/>
        <v>1</v>
      </c>
      <c r="L82" s="441">
        <f t="shared" si="28"/>
        <v>1</v>
      </c>
      <c r="M82" s="441"/>
      <c r="N82" s="441"/>
      <c r="O82" s="441">
        <f t="shared" si="28"/>
        <v>1</v>
      </c>
      <c r="P82" s="441"/>
      <c r="Q82" s="441"/>
      <c r="R82" s="742">
        <f t="shared" si="27"/>
        <v>100</v>
      </c>
      <c r="S82" s="140"/>
      <c r="T82" s="131"/>
      <c r="U82" s="206" t="s">
        <v>113</v>
      </c>
      <c r="V82" s="133" t="s">
        <v>95</v>
      </c>
      <c r="W82" s="207">
        <f>W85+W88+W91</f>
        <v>72</v>
      </c>
      <c r="X82" s="208">
        <f>X85+X88+X91</f>
        <v>75</v>
      </c>
      <c r="Y82" s="136">
        <f t="shared" si="24"/>
        <v>100</v>
      </c>
      <c r="Z82" s="205">
        <f aca="true" t="shared" si="29" ref="Z82:AH82">Z85+Z88+Z91</f>
        <v>16</v>
      </c>
      <c r="AA82" s="205">
        <f t="shared" si="29"/>
        <v>45</v>
      </c>
      <c r="AB82" s="205">
        <f t="shared" si="29"/>
        <v>4</v>
      </c>
      <c r="AC82" s="205">
        <f t="shared" si="29"/>
        <v>2</v>
      </c>
      <c r="AD82" s="205">
        <f t="shared" si="29"/>
        <v>9</v>
      </c>
      <c r="AE82" s="205">
        <f t="shared" si="29"/>
        <v>1</v>
      </c>
      <c r="AF82" s="205">
        <f t="shared" si="29"/>
        <v>7</v>
      </c>
      <c r="AG82" s="205">
        <f t="shared" si="29"/>
        <v>13</v>
      </c>
      <c r="AH82" s="205">
        <f t="shared" si="29"/>
        <v>3</v>
      </c>
    </row>
    <row r="83" spans="1:34" s="201" customFormat="1" ht="16.5" customHeight="1">
      <c r="A83" s="131"/>
      <c r="B83" s="379" t="s">
        <v>189</v>
      </c>
      <c r="C83" s="133" t="s">
        <v>95</v>
      </c>
      <c r="D83" s="441">
        <f>D86+D89</f>
        <v>18</v>
      </c>
      <c r="E83" s="441">
        <f>SUM(F83:Q83)</f>
        <v>15</v>
      </c>
      <c r="F83" s="441"/>
      <c r="G83" s="441">
        <f aca="true" t="shared" si="30" ref="G83:P83">G86+G89</f>
        <v>1</v>
      </c>
      <c r="H83" s="441">
        <v>1</v>
      </c>
      <c r="I83" s="441">
        <f t="shared" si="30"/>
        <v>2</v>
      </c>
      <c r="J83" s="441">
        <f t="shared" si="30"/>
        <v>2</v>
      </c>
      <c r="K83" s="441">
        <f t="shared" si="30"/>
        <v>2</v>
      </c>
      <c r="L83" s="441">
        <f t="shared" si="30"/>
        <v>2</v>
      </c>
      <c r="M83" s="441">
        <f t="shared" si="30"/>
        <v>2</v>
      </c>
      <c r="N83" s="441"/>
      <c r="O83" s="441">
        <f t="shared" si="30"/>
        <v>1</v>
      </c>
      <c r="P83" s="441">
        <f t="shared" si="30"/>
        <v>2</v>
      </c>
      <c r="Q83" s="441"/>
      <c r="R83" s="741">
        <f t="shared" si="27"/>
        <v>83.33333333333334</v>
      </c>
      <c r="S83" s="140"/>
      <c r="T83" s="131"/>
      <c r="U83" s="206"/>
      <c r="V83" s="133"/>
      <c r="W83" s="207"/>
      <c r="X83" s="208"/>
      <c r="Y83" s="136"/>
      <c r="Z83" s="205"/>
      <c r="AA83" s="205"/>
      <c r="AB83" s="205"/>
      <c r="AC83" s="205"/>
      <c r="AD83" s="205"/>
      <c r="AE83" s="205"/>
      <c r="AF83" s="205"/>
      <c r="AG83" s="205"/>
      <c r="AH83" s="205"/>
    </row>
    <row r="84" spans="1:34" s="118" customFormat="1" ht="16.5" customHeight="1">
      <c r="A84" s="361" t="s">
        <v>114</v>
      </c>
      <c r="B84" s="362" t="s">
        <v>115</v>
      </c>
      <c r="C84" s="361" t="s">
        <v>108</v>
      </c>
      <c r="D84" s="447">
        <v>13</v>
      </c>
      <c r="E84" s="447">
        <f>SUM(F84:Q84)</f>
        <v>13</v>
      </c>
      <c r="F84" s="447">
        <v>2</v>
      </c>
      <c r="G84" s="447">
        <v>1</v>
      </c>
      <c r="H84" s="447">
        <v>1</v>
      </c>
      <c r="I84" s="447">
        <v>1</v>
      </c>
      <c r="J84" s="447">
        <v>2</v>
      </c>
      <c r="K84" s="447">
        <v>2</v>
      </c>
      <c r="L84" s="447">
        <v>1</v>
      </c>
      <c r="M84" s="447">
        <v>1</v>
      </c>
      <c r="N84" s="447"/>
      <c r="O84" s="447">
        <v>1</v>
      </c>
      <c r="P84" s="447">
        <v>1</v>
      </c>
      <c r="Q84" s="464"/>
      <c r="R84" s="364">
        <f>E84/D84*100</f>
        <v>100</v>
      </c>
      <c r="S84" s="155"/>
      <c r="T84" s="200"/>
      <c r="U84" s="120" t="s">
        <v>116</v>
      </c>
      <c r="V84" s="119" t="s">
        <v>108</v>
      </c>
      <c r="W84" s="127">
        <v>170</v>
      </c>
      <c r="X84" s="128">
        <v>173</v>
      </c>
      <c r="Y84" s="123">
        <f t="shared" si="24"/>
        <v>178</v>
      </c>
      <c r="Z84" s="141">
        <v>10</v>
      </c>
      <c r="AA84" s="141">
        <v>37</v>
      </c>
      <c r="AB84" s="141">
        <v>23</v>
      </c>
      <c r="AC84" s="141">
        <v>5</v>
      </c>
      <c r="AD84" s="141">
        <v>22</v>
      </c>
      <c r="AE84" s="125">
        <v>24</v>
      </c>
      <c r="AF84" s="141">
        <v>13</v>
      </c>
      <c r="AG84" s="125">
        <v>28</v>
      </c>
      <c r="AH84" s="141">
        <v>16</v>
      </c>
    </row>
    <row r="85" spans="1:34" s="201" customFormat="1" ht="16.5" customHeight="1">
      <c r="A85" s="365"/>
      <c r="B85" s="376" t="s">
        <v>110</v>
      </c>
      <c r="C85" s="365" t="s">
        <v>95</v>
      </c>
      <c r="D85" s="441">
        <v>4</v>
      </c>
      <c r="E85" s="441">
        <f aca="true" t="shared" si="31" ref="E85:E90">SUM(F85:Q85)</f>
        <v>4</v>
      </c>
      <c r="F85" s="441">
        <v>2</v>
      </c>
      <c r="G85" s="441">
        <v>1</v>
      </c>
      <c r="H85" s="441"/>
      <c r="I85" s="441"/>
      <c r="J85" s="441">
        <v>1</v>
      </c>
      <c r="K85" s="441"/>
      <c r="L85" s="441"/>
      <c r="M85" s="441"/>
      <c r="N85" s="441"/>
      <c r="O85" s="441"/>
      <c r="P85" s="441"/>
      <c r="Q85" s="292"/>
      <c r="R85" s="742">
        <f t="shared" si="27"/>
        <v>100</v>
      </c>
      <c r="S85" s="140"/>
      <c r="T85" s="179"/>
      <c r="U85" s="192" t="s">
        <v>117</v>
      </c>
      <c r="V85" s="133" t="s">
        <v>95</v>
      </c>
      <c r="W85" s="134">
        <v>51</v>
      </c>
      <c r="X85" s="135">
        <v>51</v>
      </c>
      <c r="Y85" s="123">
        <f t="shared" si="24"/>
        <v>63</v>
      </c>
      <c r="Z85" s="137">
        <v>7</v>
      </c>
      <c r="AA85" s="137">
        <v>30</v>
      </c>
      <c r="AB85" s="137">
        <v>2</v>
      </c>
      <c r="AC85" s="137">
        <v>1</v>
      </c>
      <c r="AD85" s="137">
        <v>5</v>
      </c>
      <c r="AE85" s="131">
        <v>1</v>
      </c>
      <c r="AF85" s="137">
        <v>5</v>
      </c>
      <c r="AG85" s="131">
        <v>10</v>
      </c>
      <c r="AH85" s="137">
        <v>2</v>
      </c>
    </row>
    <row r="86" spans="1:34" s="201" customFormat="1" ht="16.5" customHeight="1">
      <c r="A86" s="179"/>
      <c r="B86" s="383" t="s">
        <v>118</v>
      </c>
      <c r="C86" s="133" t="s">
        <v>95</v>
      </c>
      <c r="D86" s="441">
        <v>10</v>
      </c>
      <c r="E86" s="441">
        <f t="shared" si="31"/>
        <v>10</v>
      </c>
      <c r="F86" s="441">
        <v>1</v>
      </c>
      <c r="G86" s="441">
        <v>1</v>
      </c>
      <c r="H86" s="441">
        <v>1</v>
      </c>
      <c r="I86" s="441">
        <v>1</v>
      </c>
      <c r="J86" s="441">
        <v>1</v>
      </c>
      <c r="K86" s="441">
        <v>1</v>
      </c>
      <c r="L86" s="441">
        <v>1</v>
      </c>
      <c r="M86" s="441">
        <v>1</v>
      </c>
      <c r="N86" s="441"/>
      <c r="O86" s="441">
        <v>1</v>
      </c>
      <c r="P86" s="441">
        <v>1</v>
      </c>
      <c r="Q86" s="578"/>
      <c r="R86" s="742">
        <f t="shared" si="27"/>
        <v>100</v>
      </c>
      <c r="S86" s="140"/>
      <c r="T86" s="179"/>
      <c r="U86" s="192"/>
      <c r="V86" s="133"/>
      <c r="W86" s="134"/>
      <c r="X86" s="135"/>
      <c r="Y86" s="123"/>
      <c r="Z86" s="137"/>
      <c r="AA86" s="137"/>
      <c r="AB86" s="137"/>
      <c r="AC86" s="137"/>
      <c r="AD86" s="137"/>
      <c r="AE86" s="131"/>
      <c r="AF86" s="137"/>
      <c r="AG86" s="131"/>
      <c r="AH86" s="137"/>
    </row>
    <row r="87" spans="1:34" s="118" customFormat="1" ht="16.5" customHeight="1">
      <c r="A87" s="361" t="s">
        <v>119</v>
      </c>
      <c r="B87" s="362" t="s">
        <v>120</v>
      </c>
      <c r="C87" s="361" t="s">
        <v>95</v>
      </c>
      <c r="D87" s="447">
        <v>10</v>
      </c>
      <c r="E87" s="447">
        <f t="shared" si="31"/>
        <v>10</v>
      </c>
      <c r="F87" s="447">
        <v>1</v>
      </c>
      <c r="G87" s="447">
        <v>1</v>
      </c>
      <c r="H87" s="447"/>
      <c r="I87" s="447">
        <v>1</v>
      </c>
      <c r="J87" s="447">
        <v>1</v>
      </c>
      <c r="K87" s="447">
        <v>1</v>
      </c>
      <c r="L87" s="447">
        <v>1</v>
      </c>
      <c r="M87" s="447">
        <v>1</v>
      </c>
      <c r="N87" s="447">
        <v>1</v>
      </c>
      <c r="O87" s="447"/>
      <c r="P87" s="447">
        <v>1</v>
      </c>
      <c r="Q87" s="447">
        <v>1</v>
      </c>
      <c r="R87" s="364">
        <f>E87/D87*100</f>
        <v>100</v>
      </c>
      <c r="S87" s="155"/>
      <c r="T87" s="200"/>
      <c r="U87" s="120" t="s">
        <v>121</v>
      </c>
      <c r="V87" s="119" t="s">
        <v>95</v>
      </c>
      <c r="W87" s="127">
        <v>115</v>
      </c>
      <c r="X87" s="128">
        <v>115</v>
      </c>
      <c r="Y87" s="123">
        <f t="shared" si="24"/>
        <v>119</v>
      </c>
      <c r="Z87" s="141">
        <v>9</v>
      </c>
      <c r="AA87" s="141">
        <v>19</v>
      </c>
      <c r="AB87" s="141">
        <v>15</v>
      </c>
      <c r="AC87" s="141">
        <v>5</v>
      </c>
      <c r="AD87" s="141">
        <v>18</v>
      </c>
      <c r="AE87" s="125">
        <v>15</v>
      </c>
      <c r="AF87" s="141">
        <v>10</v>
      </c>
      <c r="AG87" s="125">
        <v>16</v>
      </c>
      <c r="AH87" s="141">
        <v>12</v>
      </c>
    </row>
    <row r="88" spans="1:34" s="210" customFormat="1" ht="16.5" customHeight="1">
      <c r="A88" s="365"/>
      <c r="B88" s="376" t="s">
        <v>122</v>
      </c>
      <c r="C88" s="365" t="s">
        <v>95</v>
      </c>
      <c r="D88" s="292">
        <v>6</v>
      </c>
      <c r="E88" s="292">
        <f t="shared" si="31"/>
        <v>6</v>
      </c>
      <c r="F88" s="292">
        <v>1</v>
      </c>
      <c r="G88" s="292">
        <v>1</v>
      </c>
      <c r="H88" s="680"/>
      <c r="I88" s="292">
        <v>1</v>
      </c>
      <c r="J88" s="292">
        <v>1</v>
      </c>
      <c r="K88" s="292">
        <v>1</v>
      </c>
      <c r="L88" s="292">
        <v>1</v>
      </c>
      <c r="M88" s="292"/>
      <c r="N88" s="292"/>
      <c r="O88" s="292"/>
      <c r="P88" s="292"/>
      <c r="Q88" s="292"/>
      <c r="R88" s="742">
        <f t="shared" si="27"/>
        <v>100</v>
      </c>
      <c r="S88" s="140"/>
      <c r="T88" s="179"/>
      <c r="U88" s="192" t="s">
        <v>123</v>
      </c>
      <c r="V88" s="133" t="s">
        <v>95</v>
      </c>
      <c r="W88" s="134">
        <v>20</v>
      </c>
      <c r="X88" s="135">
        <v>22</v>
      </c>
      <c r="Y88" s="136">
        <f t="shared" si="24"/>
        <v>34</v>
      </c>
      <c r="Z88" s="137">
        <v>6</v>
      </c>
      <c r="AA88" s="137">
        <v>15</v>
      </c>
      <c r="AB88" s="209">
        <v>2</v>
      </c>
      <c r="AC88" s="209">
        <v>1</v>
      </c>
      <c r="AD88" s="137">
        <v>4</v>
      </c>
      <c r="AE88" s="195">
        <v>0</v>
      </c>
      <c r="AF88" s="137">
        <v>2</v>
      </c>
      <c r="AG88" s="131">
        <v>3</v>
      </c>
      <c r="AH88" s="137">
        <v>1</v>
      </c>
    </row>
    <row r="89" spans="1:34" s="210" customFormat="1" ht="16.5" customHeight="1">
      <c r="A89" s="365"/>
      <c r="B89" s="383" t="s">
        <v>118</v>
      </c>
      <c r="C89" s="133" t="s">
        <v>95</v>
      </c>
      <c r="D89" s="292">
        <v>8</v>
      </c>
      <c r="E89" s="292">
        <f t="shared" si="31"/>
        <v>8</v>
      </c>
      <c r="F89" s="292"/>
      <c r="G89" s="460"/>
      <c r="H89" s="368"/>
      <c r="I89" s="292">
        <v>1</v>
      </c>
      <c r="J89" s="292">
        <v>1</v>
      </c>
      <c r="K89" s="292">
        <v>1</v>
      </c>
      <c r="L89" s="292">
        <v>1</v>
      </c>
      <c r="M89" s="292">
        <v>1</v>
      </c>
      <c r="N89" s="292">
        <v>1</v>
      </c>
      <c r="O89" s="292"/>
      <c r="P89" s="292">
        <v>1</v>
      </c>
      <c r="Q89" s="292">
        <v>1</v>
      </c>
      <c r="R89" s="742">
        <f t="shared" si="27"/>
        <v>100</v>
      </c>
      <c r="S89" s="140"/>
      <c r="T89" s="179"/>
      <c r="U89" s="192"/>
      <c r="V89" s="133"/>
      <c r="W89" s="134"/>
      <c r="X89" s="135"/>
      <c r="Y89" s="136"/>
      <c r="Z89" s="137"/>
      <c r="AA89" s="137"/>
      <c r="AB89" s="209"/>
      <c r="AC89" s="209"/>
      <c r="AD89" s="137"/>
      <c r="AE89" s="195"/>
      <c r="AF89" s="137"/>
      <c r="AG89" s="131"/>
      <c r="AH89" s="137"/>
    </row>
    <row r="90" spans="1:34" s="118" customFormat="1" ht="16.5" customHeight="1">
      <c r="A90" s="361" t="s">
        <v>124</v>
      </c>
      <c r="B90" s="362" t="s">
        <v>125</v>
      </c>
      <c r="C90" s="361" t="s">
        <v>95</v>
      </c>
      <c r="D90" s="457">
        <v>4</v>
      </c>
      <c r="E90" s="384">
        <f t="shared" si="31"/>
        <v>4</v>
      </c>
      <c r="F90" s="467">
        <v>2</v>
      </c>
      <c r="G90" s="467"/>
      <c r="H90" s="682">
        <v>1</v>
      </c>
      <c r="I90" s="467"/>
      <c r="J90" s="467"/>
      <c r="K90" s="467"/>
      <c r="L90" s="467"/>
      <c r="M90" s="467"/>
      <c r="N90" s="467"/>
      <c r="O90" s="467">
        <v>1</v>
      </c>
      <c r="P90" s="467"/>
      <c r="Q90" s="467"/>
      <c r="R90" s="364">
        <f>E90/D90*100</f>
        <v>100</v>
      </c>
      <c r="S90" s="155"/>
      <c r="T90" s="200"/>
      <c r="U90" s="120" t="s">
        <v>126</v>
      </c>
      <c r="V90" s="119" t="s">
        <v>95</v>
      </c>
      <c r="W90" s="127">
        <v>29</v>
      </c>
      <c r="X90" s="128">
        <v>29</v>
      </c>
      <c r="Y90" s="123">
        <f t="shared" si="24"/>
        <v>29</v>
      </c>
      <c r="Z90" s="141">
        <v>5</v>
      </c>
      <c r="AA90" s="141">
        <v>6</v>
      </c>
      <c r="AB90" s="141">
        <v>3</v>
      </c>
      <c r="AC90" s="141">
        <v>1</v>
      </c>
      <c r="AD90" s="141">
        <v>2</v>
      </c>
      <c r="AE90" s="125">
        <v>3</v>
      </c>
      <c r="AF90" s="141">
        <v>3</v>
      </c>
      <c r="AG90" s="125">
        <v>3</v>
      </c>
      <c r="AH90" s="141">
        <v>3</v>
      </c>
    </row>
    <row r="91" spans="1:34" s="210" customFormat="1" ht="16.5" customHeight="1">
      <c r="A91" s="365"/>
      <c r="B91" s="376" t="s">
        <v>127</v>
      </c>
      <c r="C91" s="365" t="s">
        <v>108</v>
      </c>
      <c r="D91" s="466">
        <v>3</v>
      </c>
      <c r="E91" s="441">
        <v>3</v>
      </c>
      <c r="F91" s="466">
        <v>2</v>
      </c>
      <c r="G91" s="466"/>
      <c r="H91" s="683"/>
      <c r="I91" s="466"/>
      <c r="J91" s="466"/>
      <c r="K91" s="466"/>
      <c r="L91" s="466"/>
      <c r="M91" s="466"/>
      <c r="N91" s="466"/>
      <c r="O91" s="466">
        <v>1</v>
      </c>
      <c r="P91" s="466"/>
      <c r="Q91" s="466"/>
      <c r="R91" s="742">
        <f t="shared" si="27"/>
        <v>100</v>
      </c>
      <c r="S91" s="140"/>
      <c r="T91" s="179"/>
      <c r="U91" s="192" t="s">
        <v>123</v>
      </c>
      <c r="V91" s="133" t="s">
        <v>95</v>
      </c>
      <c r="W91" s="134">
        <v>1</v>
      </c>
      <c r="X91" s="135">
        <v>2</v>
      </c>
      <c r="Y91" s="136">
        <f t="shared" si="24"/>
        <v>3</v>
      </c>
      <c r="Z91" s="137">
        <v>3</v>
      </c>
      <c r="AA91" s="137">
        <v>0</v>
      </c>
      <c r="AB91" s="137">
        <v>0</v>
      </c>
      <c r="AC91" s="137">
        <v>0</v>
      </c>
      <c r="AD91" s="137">
        <v>0</v>
      </c>
      <c r="AE91" s="137">
        <v>0</v>
      </c>
      <c r="AF91" s="137">
        <v>0</v>
      </c>
      <c r="AG91" s="137">
        <v>0</v>
      </c>
      <c r="AH91" s="137">
        <v>0</v>
      </c>
    </row>
    <row r="92" spans="1:34" s="118" customFormat="1" ht="27" customHeight="1">
      <c r="A92" s="361">
        <v>3</v>
      </c>
      <c r="B92" s="362" t="s">
        <v>433</v>
      </c>
      <c r="C92" s="361" t="s">
        <v>488</v>
      </c>
      <c r="D92" s="467">
        <v>1</v>
      </c>
      <c r="E92" s="384">
        <f>F92</f>
        <v>1</v>
      </c>
      <c r="F92" s="385">
        <v>1</v>
      </c>
      <c r="G92" s="385"/>
      <c r="H92" s="471"/>
      <c r="I92" s="385"/>
      <c r="J92" s="385"/>
      <c r="K92" s="385"/>
      <c r="L92" s="385"/>
      <c r="M92" s="385"/>
      <c r="N92" s="385"/>
      <c r="O92" s="385"/>
      <c r="P92" s="385"/>
      <c r="Q92" s="385"/>
      <c r="R92" s="381">
        <v>100</v>
      </c>
      <c r="S92" s="155"/>
      <c r="T92" s="211">
        <v>3</v>
      </c>
      <c r="U92" s="212" t="s">
        <v>128</v>
      </c>
      <c r="V92" s="119" t="s">
        <v>95</v>
      </c>
      <c r="W92" s="213">
        <v>8</v>
      </c>
      <c r="X92" s="214">
        <v>8</v>
      </c>
      <c r="Y92" s="123">
        <f t="shared" si="24"/>
        <v>8</v>
      </c>
      <c r="Z92" s="215">
        <v>1</v>
      </c>
      <c r="AA92" s="215">
        <v>1</v>
      </c>
      <c r="AB92" s="215">
        <v>1</v>
      </c>
      <c r="AC92" s="215">
        <v>0</v>
      </c>
      <c r="AD92" s="215">
        <v>1</v>
      </c>
      <c r="AE92" s="215">
        <v>1</v>
      </c>
      <c r="AF92" s="215">
        <v>1</v>
      </c>
      <c r="AG92" s="215">
        <v>1</v>
      </c>
      <c r="AH92" s="215">
        <v>1</v>
      </c>
    </row>
    <row r="93" spans="1:34" s="118" customFormat="1" ht="18" customHeight="1">
      <c r="A93" s="361" t="s">
        <v>156</v>
      </c>
      <c r="B93" s="362" t="s">
        <v>434</v>
      </c>
      <c r="C93" s="517"/>
      <c r="D93" s="518"/>
      <c r="E93" s="519"/>
      <c r="F93" s="520"/>
      <c r="G93" s="520"/>
      <c r="H93" s="521"/>
      <c r="I93" s="520"/>
      <c r="J93" s="520"/>
      <c r="K93" s="520"/>
      <c r="L93" s="520"/>
      <c r="M93" s="520"/>
      <c r="N93" s="520"/>
      <c r="O93" s="520"/>
      <c r="P93" s="520"/>
      <c r="Q93" s="520"/>
      <c r="R93" s="522"/>
      <c r="S93" s="155"/>
      <c r="T93" s="211"/>
      <c r="U93" s="212"/>
      <c r="V93" s="119"/>
      <c r="W93" s="213"/>
      <c r="X93" s="214"/>
      <c r="Y93" s="123"/>
      <c r="Z93" s="215"/>
      <c r="AA93" s="215"/>
      <c r="AB93" s="215"/>
      <c r="AC93" s="215"/>
      <c r="AD93" s="215"/>
      <c r="AE93" s="215"/>
      <c r="AF93" s="215"/>
      <c r="AG93" s="215"/>
      <c r="AH93" s="215"/>
    </row>
    <row r="94" spans="1:34" s="159" customFormat="1" ht="36">
      <c r="A94" s="365">
        <v>1</v>
      </c>
      <c r="B94" s="367" t="s">
        <v>435</v>
      </c>
      <c r="C94" s="523" t="s">
        <v>162</v>
      </c>
      <c r="D94" s="524">
        <v>64</v>
      </c>
      <c r="E94" s="524">
        <f aca="true" t="shared" si="32" ref="E94:E99">SUM(F94:Q94)</f>
        <v>68</v>
      </c>
      <c r="F94" s="524"/>
      <c r="G94" s="524"/>
      <c r="H94" s="524"/>
      <c r="I94" s="524"/>
      <c r="J94" s="524"/>
      <c r="K94" s="524"/>
      <c r="L94" s="524"/>
      <c r="M94" s="524">
        <v>21</v>
      </c>
      <c r="N94" s="524"/>
      <c r="O94" s="524">
        <v>21</v>
      </c>
      <c r="P94" s="524">
        <v>26</v>
      </c>
      <c r="Q94" s="524"/>
      <c r="R94" s="532">
        <f>E94/D94*100</f>
        <v>106.25</v>
      </c>
      <c r="T94" s="525"/>
      <c r="U94" s="526"/>
      <c r="V94" s="527"/>
      <c r="W94" s="528"/>
      <c r="X94" s="529"/>
      <c r="Y94" s="530"/>
      <c r="Z94" s="531"/>
      <c r="AA94" s="531"/>
      <c r="AB94" s="531"/>
      <c r="AC94" s="531"/>
      <c r="AD94" s="531"/>
      <c r="AE94" s="531"/>
      <c r="AF94" s="531"/>
      <c r="AG94" s="531"/>
      <c r="AH94" s="531"/>
    </row>
    <row r="95" spans="1:34" s="159" customFormat="1" ht="36.75" customHeight="1">
      <c r="A95" s="365">
        <v>2</v>
      </c>
      <c r="B95" s="367" t="s">
        <v>436</v>
      </c>
      <c r="C95" s="523" t="s">
        <v>162</v>
      </c>
      <c r="D95" s="524">
        <v>3</v>
      </c>
      <c r="E95" s="524">
        <f t="shared" si="32"/>
        <v>3</v>
      </c>
      <c r="F95" s="524"/>
      <c r="G95" s="524"/>
      <c r="H95" s="524"/>
      <c r="I95" s="524"/>
      <c r="J95" s="524"/>
      <c r="K95" s="524"/>
      <c r="L95" s="524"/>
      <c r="M95" s="524">
        <v>1</v>
      </c>
      <c r="N95" s="524"/>
      <c r="O95" s="524">
        <v>1</v>
      </c>
      <c r="P95" s="524">
        <v>1</v>
      </c>
      <c r="Q95" s="539"/>
      <c r="R95" s="524">
        <v>100</v>
      </c>
      <c r="T95" s="533"/>
      <c r="U95" s="534"/>
      <c r="V95" s="527"/>
      <c r="W95" s="535"/>
      <c r="X95" s="536"/>
      <c r="Y95" s="537"/>
      <c r="Z95" s="538"/>
      <c r="AA95" s="538"/>
      <c r="AB95" s="538"/>
      <c r="AC95" s="538"/>
      <c r="AD95" s="538"/>
      <c r="AE95" s="538"/>
      <c r="AF95" s="538"/>
      <c r="AG95" s="538"/>
      <c r="AH95" s="538"/>
    </row>
    <row r="96" spans="1:34" s="159" customFormat="1" ht="24">
      <c r="A96" s="365">
        <v>3</v>
      </c>
      <c r="B96" s="367" t="s">
        <v>437</v>
      </c>
      <c r="C96" s="523" t="s">
        <v>438</v>
      </c>
      <c r="D96" s="524">
        <v>19</v>
      </c>
      <c r="E96" s="524">
        <f>SUM(F96:Q96)</f>
        <v>22</v>
      </c>
      <c r="F96" s="524"/>
      <c r="G96" s="524"/>
      <c r="H96" s="524"/>
      <c r="I96" s="524"/>
      <c r="J96" s="524"/>
      <c r="K96" s="524"/>
      <c r="L96" s="524"/>
      <c r="M96" s="524">
        <v>6</v>
      </c>
      <c r="N96" s="524"/>
      <c r="O96" s="524">
        <v>7</v>
      </c>
      <c r="P96" s="524">
        <v>9</v>
      </c>
      <c r="Q96" s="524"/>
      <c r="R96" s="532">
        <f>E96/D96*100</f>
        <v>115.78947368421053</v>
      </c>
      <c r="T96" s="533"/>
      <c r="U96" s="534"/>
      <c r="V96" s="527"/>
      <c r="W96" s="535"/>
      <c r="X96" s="536"/>
      <c r="Y96" s="537"/>
      <c r="Z96" s="538"/>
      <c r="AA96" s="538"/>
      <c r="AB96" s="538"/>
      <c r="AC96" s="538"/>
      <c r="AD96" s="538"/>
      <c r="AE96" s="538"/>
      <c r="AF96" s="538"/>
      <c r="AG96" s="538"/>
      <c r="AH96" s="538"/>
    </row>
    <row r="97" spans="1:34" s="159" customFormat="1" ht="24">
      <c r="A97" s="365"/>
      <c r="B97" s="367" t="s">
        <v>439</v>
      </c>
      <c r="C97" s="523" t="s">
        <v>438</v>
      </c>
      <c r="D97" s="524">
        <v>23</v>
      </c>
      <c r="E97" s="524">
        <f t="shared" si="32"/>
        <v>27</v>
      </c>
      <c r="F97" s="524"/>
      <c r="G97" s="524"/>
      <c r="H97" s="524"/>
      <c r="I97" s="524"/>
      <c r="J97" s="524"/>
      <c r="K97" s="524"/>
      <c r="L97" s="524"/>
      <c r="M97" s="524">
        <v>6</v>
      </c>
      <c r="N97" s="524"/>
      <c r="O97" s="524">
        <v>8</v>
      </c>
      <c r="P97" s="524">
        <v>13</v>
      </c>
      <c r="Q97" s="524"/>
      <c r="R97" s="532">
        <f>E97/D97*100</f>
        <v>117.3913043478261</v>
      </c>
      <c r="T97" s="533"/>
      <c r="U97" s="534"/>
      <c r="V97" s="527"/>
      <c r="W97" s="535"/>
      <c r="X97" s="536"/>
      <c r="Y97" s="537"/>
      <c r="Z97" s="538"/>
      <c r="AA97" s="538"/>
      <c r="AB97" s="538"/>
      <c r="AC97" s="538"/>
      <c r="AD97" s="538"/>
      <c r="AE97" s="538"/>
      <c r="AF97" s="538"/>
      <c r="AG97" s="538"/>
      <c r="AH97" s="538"/>
    </row>
    <row r="98" spans="1:34" s="159" customFormat="1" ht="24">
      <c r="A98" s="365"/>
      <c r="B98" s="367" t="s">
        <v>440</v>
      </c>
      <c r="C98" s="523" t="s">
        <v>438</v>
      </c>
      <c r="D98" s="524">
        <v>37</v>
      </c>
      <c r="E98" s="524">
        <f t="shared" si="32"/>
        <v>36</v>
      </c>
      <c r="F98" s="524"/>
      <c r="G98" s="524"/>
      <c r="H98" s="524"/>
      <c r="I98" s="524"/>
      <c r="J98" s="524"/>
      <c r="K98" s="524"/>
      <c r="L98" s="524"/>
      <c r="M98" s="524">
        <v>10</v>
      </c>
      <c r="N98" s="524"/>
      <c r="O98" s="524">
        <v>13</v>
      </c>
      <c r="P98" s="524">
        <v>13</v>
      </c>
      <c r="Q98" s="539"/>
      <c r="R98" s="554">
        <f>E98/D98*100</f>
        <v>97.2972972972973</v>
      </c>
      <c r="T98" s="540"/>
      <c r="U98" s="540"/>
      <c r="V98" s="540"/>
      <c r="W98" s="541"/>
      <c r="X98" s="542"/>
      <c r="Y98" s="543"/>
      <c r="Z98" s="540"/>
      <c r="AA98" s="540"/>
      <c r="AB98" s="540"/>
      <c r="AC98" s="540"/>
      <c r="AD98" s="540"/>
      <c r="AE98" s="540"/>
      <c r="AF98" s="540"/>
      <c r="AG98" s="540"/>
      <c r="AH98" s="540"/>
    </row>
    <row r="99" spans="1:34" s="159" customFormat="1" ht="24">
      <c r="A99" s="365"/>
      <c r="B99" s="367" t="s">
        <v>441</v>
      </c>
      <c r="C99" s="523" t="s">
        <v>438</v>
      </c>
      <c r="D99" s="524">
        <v>20</v>
      </c>
      <c r="E99" s="524">
        <f t="shared" si="32"/>
        <v>23</v>
      </c>
      <c r="F99" s="524"/>
      <c r="G99" s="524"/>
      <c r="H99" s="524"/>
      <c r="I99" s="524"/>
      <c r="J99" s="524"/>
      <c r="K99" s="524"/>
      <c r="L99" s="524"/>
      <c r="M99" s="524">
        <v>6</v>
      </c>
      <c r="N99" s="524"/>
      <c r="O99" s="524">
        <v>4</v>
      </c>
      <c r="P99" s="524">
        <v>13</v>
      </c>
      <c r="Q99" s="539"/>
      <c r="R99" s="524">
        <f>E99/D99*100</f>
        <v>114.99999999999999</v>
      </c>
      <c r="T99" s="540"/>
      <c r="U99" s="540"/>
      <c r="V99" s="540"/>
      <c r="W99" s="541"/>
      <c r="X99" s="542"/>
      <c r="Y99" s="543"/>
      <c r="Z99" s="540"/>
      <c r="AA99" s="540"/>
      <c r="AB99" s="540"/>
      <c r="AC99" s="540"/>
      <c r="AD99" s="540"/>
      <c r="AE99" s="540"/>
      <c r="AF99" s="540"/>
      <c r="AG99" s="540"/>
      <c r="AH99" s="540"/>
    </row>
    <row r="100" spans="1:34" s="549" customFormat="1" ht="24">
      <c r="A100" s="544" t="s">
        <v>158</v>
      </c>
      <c r="B100" s="545" t="s">
        <v>442</v>
      </c>
      <c r="C100" s="546"/>
      <c r="D100" s="524"/>
      <c r="E100" s="547"/>
      <c r="F100" s="464"/>
      <c r="G100" s="464"/>
      <c r="H100" s="382"/>
      <c r="I100" s="464"/>
      <c r="J100" s="464"/>
      <c r="K100" s="464"/>
      <c r="L100" s="464"/>
      <c r="M100" s="464"/>
      <c r="N100" s="464"/>
      <c r="O100" s="464"/>
      <c r="P100" s="464"/>
      <c r="Q100" s="464"/>
      <c r="R100" s="548"/>
      <c r="T100" s="550"/>
      <c r="U100" s="550"/>
      <c r="V100" s="550"/>
      <c r="W100" s="551"/>
      <c r="X100" s="552"/>
      <c r="Y100" s="553"/>
      <c r="Z100" s="550"/>
      <c r="AA100" s="550"/>
      <c r="AB100" s="550"/>
      <c r="AC100" s="550"/>
      <c r="AD100" s="550"/>
      <c r="AE100" s="550"/>
      <c r="AF100" s="550"/>
      <c r="AG100" s="550"/>
      <c r="AH100" s="550"/>
    </row>
    <row r="101" spans="1:34" s="159" customFormat="1" ht="24">
      <c r="A101" s="365"/>
      <c r="B101" s="367" t="s">
        <v>443</v>
      </c>
      <c r="C101" s="523" t="s">
        <v>12</v>
      </c>
      <c r="D101" s="524">
        <v>99</v>
      </c>
      <c r="E101" s="554">
        <v>97.8</v>
      </c>
      <c r="F101" s="524">
        <v>100</v>
      </c>
      <c r="G101" s="524">
        <v>100</v>
      </c>
      <c r="H101" s="524">
        <v>100</v>
      </c>
      <c r="I101" s="524">
        <v>100</v>
      </c>
      <c r="J101" s="524">
        <v>100</v>
      </c>
      <c r="K101" s="524">
        <v>100</v>
      </c>
      <c r="L101" s="524">
        <v>99</v>
      </c>
      <c r="M101" s="524">
        <v>99</v>
      </c>
      <c r="N101" s="524">
        <v>100</v>
      </c>
      <c r="O101" s="524">
        <v>100</v>
      </c>
      <c r="P101" s="524">
        <v>99</v>
      </c>
      <c r="Q101" s="524">
        <v>99</v>
      </c>
      <c r="R101" s="684">
        <f>E101-D101</f>
        <v>-1.2000000000000028</v>
      </c>
      <c r="T101" s="540"/>
      <c r="U101" s="540"/>
      <c r="V101" s="540"/>
      <c r="W101" s="541"/>
      <c r="X101" s="542"/>
      <c r="Y101" s="543"/>
      <c r="Z101" s="540"/>
      <c r="AA101" s="540"/>
      <c r="AB101" s="540"/>
      <c r="AC101" s="540"/>
      <c r="AD101" s="540"/>
      <c r="AE101" s="540"/>
      <c r="AF101" s="540"/>
      <c r="AG101" s="540"/>
      <c r="AH101" s="540"/>
    </row>
    <row r="102" spans="1:25" s="159" customFormat="1" ht="24">
      <c r="A102" s="365"/>
      <c r="B102" s="367" t="s">
        <v>444</v>
      </c>
      <c r="C102" s="523" t="s">
        <v>12</v>
      </c>
      <c r="D102" s="524">
        <v>100</v>
      </c>
      <c r="E102" s="554">
        <v>99.3</v>
      </c>
      <c r="F102" s="524">
        <v>100</v>
      </c>
      <c r="G102" s="554">
        <v>99.1</v>
      </c>
      <c r="H102" s="554">
        <v>98.5</v>
      </c>
      <c r="I102" s="554">
        <v>98.7</v>
      </c>
      <c r="J102" s="524">
        <v>100</v>
      </c>
      <c r="K102" s="554">
        <v>99.1</v>
      </c>
      <c r="L102" s="524">
        <v>100</v>
      </c>
      <c r="M102" s="524">
        <v>100</v>
      </c>
      <c r="N102" s="524">
        <v>100</v>
      </c>
      <c r="O102" s="524">
        <v>100</v>
      </c>
      <c r="P102" s="524">
        <v>100</v>
      </c>
      <c r="Q102" s="524">
        <v>97</v>
      </c>
      <c r="R102" s="684">
        <f>E102-D102</f>
        <v>-0.7000000000000028</v>
      </c>
      <c r="W102" s="555"/>
      <c r="X102" s="556"/>
      <c r="Y102" s="557"/>
    </row>
    <row r="103" spans="1:25" s="159" customFormat="1" ht="24">
      <c r="A103" s="365"/>
      <c r="B103" s="367" t="s">
        <v>445</v>
      </c>
      <c r="C103" s="523" t="s">
        <v>12</v>
      </c>
      <c r="D103" s="524">
        <v>89</v>
      </c>
      <c r="E103" s="554">
        <v>88.5</v>
      </c>
      <c r="F103" s="524">
        <v>100</v>
      </c>
      <c r="G103" s="554">
        <v>94.5</v>
      </c>
      <c r="H103" s="524">
        <v>67</v>
      </c>
      <c r="I103" s="554">
        <v>99.5</v>
      </c>
      <c r="J103" s="554">
        <v>99.5</v>
      </c>
      <c r="K103" s="554">
        <v>98.5</v>
      </c>
      <c r="L103" s="554">
        <v>75.5</v>
      </c>
      <c r="M103" s="524">
        <v>87</v>
      </c>
      <c r="N103" s="524">
        <v>87</v>
      </c>
      <c r="O103" s="524">
        <v>87</v>
      </c>
      <c r="P103" s="524">
        <v>87</v>
      </c>
      <c r="Q103" s="524">
        <v>87</v>
      </c>
      <c r="R103" s="684">
        <f>E103-D103</f>
        <v>-0.5</v>
      </c>
      <c r="W103" s="555"/>
      <c r="X103" s="556"/>
      <c r="Y103" s="557"/>
    </row>
    <row r="104" spans="1:25" s="159" customFormat="1" ht="24">
      <c r="A104" s="365"/>
      <c r="B104" s="367" t="s">
        <v>446</v>
      </c>
      <c r="C104" s="523" t="s">
        <v>12</v>
      </c>
      <c r="D104" s="524">
        <v>86</v>
      </c>
      <c r="E104" s="554">
        <v>85.5</v>
      </c>
      <c r="F104" s="524">
        <v>100</v>
      </c>
      <c r="G104" s="554">
        <v>89.5</v>
      </c>
      <c r="H104" s="524">
        <v>61</v>
      </c>
      <c r="I104" s="554">
        <v>94.5</v>
      </c>
      <c r="J104" s="554">
        <v>99.5</v>
      </c>
      <c r="K104" s="554">
        <v>96.5</v>
      </c>
      <c r="L104" s="554">
        <v>67.5</v>
      </c>
      <c r="M104" s="554">
        <v>90.5</v>
      </c>
      <c r="N104" s="554">
        <v>79.5</v>
      </c>
      <c r="O104" s="554">
        <v>70.5</v>
      </c>
      <c r="P104" s="554">
        <v>79.5</v>
      </c>
      <c r="Q104" s="554">
        <v>67.5</v>
      </c>
      <c r="R104" s="684">
        <f>E104-D104</f>
        <v>-0.5</v>
      </c>
      <c r="W104" s="555"/>
      <c r="X104" s="556"/>
      <c r="Y104" s="557"/>
    </row>
    <row r="105" spans="1:25" s="159" customFormat="1" ht="24">
      <c r="A105" s="365"/>
      <c r="B105" s="367" t="s">
        <v>447</v>
      </c>
      <c r="C105" s="523" t="s">
        <v>12</v>
      </c>
      <c r="D105" s="524">
        <v>49</v>
      </c>
      <c r="E105" s="524">
        <v>48</v>
      </c>
      <c r="F105" s="524">
        <v>49</v>
      </c>
      <c r="G105" s="524">
        <v>48</v>
      </c>
      <c r="H105" s="524">
        <v>49</v>
      </c>
      <c r="I105" s="524">
        <v>45</v>
      </c>
      <c r="J105" s="524">
        <v>48</v>
      </c>
      <c r="K105" s="524">
        <v>48</v>
      </c>
      <c r="L105" s="524">
        <v>51</v>
      </c>
      <c r="M105" s="524">
        <v>49</v>
      </c>
      <c r="N105" s="524">
        <v>51</v>
      </c>
      <c r="O105" s="524">
        <v>41</v>
      </c>
      <c r="P105" s="524">
        <v>43</v>
      </c>
      <c r="Q105" s="524">
        <v>50</v>
      </c>
      <c r="R105" s="743">
        <f>E105-D105</f>
        <v>-1</v>
      </c>
      <c r="W105" s="555"/>
      <c r="X105" s="556"/>
      <c r="Y105" s="557"/>
    </row>
  </sheetData>
  <sheetProtection/>
  <mergeCells count="19">
    <mergeCell ref="E5:Q5"/>
    <mergeCell ref="R5:R7"/>
    <mergeCell ref="A1:B1"/>
    <mergeCell ref="A2:R2"/>
    <mergeCell ref="A3:R3"/>
    <mergeCell ref="D4:R4"/>
    <mergeCell ref="D5:D7"/>
    <mergeCell ref="A5:A7"/>
    <mergeCell ref="B5:B7"/>
    <mergeCell ref="C5:C7"/>
    <mergeCell ref="F6:Q6"/>
    <mergeCell ref="T5:T7"/>
    <mergeCell ref="Y5:Y7"/>
    <mergeCell ref="Z5:AH5"/>
    <mergeCell ref="U5:U7"/>
    <mergeCell ref="V5:V7"/>
    <mergeCell ref="W5:W7"/>
    <mergeCell ref="X5:X7"/>
    <mergeCell ref="E6:E7"/>
  </mergeCells>
  <printOptions/>
  <pageMargins left="0.1968503937007874" right="0.1968503937007874" top="0.1968503937007874" bottom="0.5905511811023623" header="0" footer="0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10"/>
  <sheetViews>
    <sheetView zoomScale="130" zoomScaleNormal="130" zoomScalePageLayoutView="0" workbookViewId="0" topLeftCell="A1">
      <selection activeCell="E9" sqref="E9"/>
    </sheetView>
  </sheetViews>
  <sheetFormatPr defaultColWidth="9.140625" defaultRowHeight="12.75"/>
  <cols>
    <col min="1" max="1" width="5.140625" style="23" customWidth="1"/>
    <col min="2" max="2" width="55.57421875" style="22" customWidth="1"/>
    <col min="3" max="3" width="12.28125" style="23" customWidth="1"/>
    <col min="4" max="4" width="10.140625" style="23" customWidth="1"/>
    <col min="5" max="5" width="12.8515625" style="23" customWidth="1"/>
    <col min="6" max="6" width="13.7109375" style="23" customWidth="1"/>
    <col min="7" max="7" width="13.00390625" style="7" customWidth="1"/>
    <col min="8" max="16384" width="9.140625" style="7" customWidth="1"/>
  </cols>
  <sheetData>
    <row r="1" spans="1:6" ht="16.5">
      <c r="A1" s="798" t="s">
        <v>699</v>
      </c>
      <c r="B1" s="798"/>
      <c r="C1" s="6"/>
      <c r="D1" s="6"/>
      <c r="E1" s="6"/>
      <c r="F1" s="6"/>
    </row>
    <row r="2" spans="1:7" s="9" customFormat="1" ht="18.75">
      <c r="A2" s="799" t="s">
        <v>639</v>
      </c>
      <c r="B2" s="799"/>
      <c r="C2" s="799"/>
      <c r="D2" s="799"/>
      <c r="E2" s="799"/>
      <c r="F2" s="799"/>
      <c r="G2" s="8"/>
    </row>
    <row r="3" spans="1:7" s="9" customFormat="1" ht="18.75">
      <c r="A3" s="800" t="s">
        <v>697</v>
      </c>
      <c r="B3" s="800"/>
      <c r="C3" s="800"/>
      <c r="D3" s="800"/>
      <c r="E3" s="800"/>
      <c r="F3" s="800"/>
      <c r="G3" s="800"/>
    </row>
    <row r="4" spans="1:6" ht="15">
      <c r="A4" s="10"/>
      <c r="B4" s="11"/>
      <c r="C4" s="10"/>
      <c r="D4" s="10"/>
      <c r="E4" s="91"/>
      <c r="F4" s="91"/>
    </row>
    <row r="5" spans="1:6" s="12" customFormat="1" ht="16.5" customHeight="1">
      <c r="A5" s="801" t="s">
        <v>4</v>
      </c>
      <c r="B5" s="801" t="s">
        <v>190</v>
      </c>
      <c r="C5" s="801" t="s">
        <v>129</v>
      </c>
      <c r="D5" s="791" t="s">
        <v>689</v>
      </c>
      <c r="E5" s="791" t="s">
        <v>683</v>
      </c>
      <c r="F5" s="795" t="s">
        <v>693</v>
      </c>
    </row>
    <row r="6" spans="1:6" s="12" customFormat="1" ht="16.5" customHeight="1">
      <c r="A6" s="802"/>
      <c r="B6" s="802"/>
      <c r="C6" s="802"/>
      <c r="D6" s="792"/>
      <c r="E6" s="792"/>
      <c r="F6" s="796"/>
    </row>
    <row r="7" spans="1:6" s="12" customFormat="1" ht="55.5" customHeight="1">
      <c r="A7" s="803"/>
      <c r="B7" s="803"/>
      <c r="C7" s="803"/>
      <c r="D7" s="793"/>
      <c r="E7" s="793"/>
      <c r="F7" s="797"/>
    </row>
    <row r="8" spans="1:6" s="13" customFormat="1" ht="20.25" customHeight="1">
      <c r="A8" s="386" t="s">
        <v>191</v>
      </c>
      <c r="B8" s="387" t="s">
        <v>130</v>
      </c>
      <c r="C8" s="386"/>
      <c r="D8" s="386"/>
      <c r="E8" s="386"/>
      <c r="F8" s="386"/>
    </row>
    <row r="9" spans="1:6" s="14" customFormat="1" ht="20.25" customHeight="1">
      <c r="A9" s="388">
        <v>1</v>
      </c>
      <c r="B9" s="595" t="s">
        <v>667</v>
      </c>
      <c r="C9" s="388" t="s">
        <v>12</v>
      </c>
      <c r="D9" s="389">
        <v>95</v>
      </c>
      <c r="E9" s="389">
        <v>95</v>
      </c>
      <c r="F9" s="575"/>
    </row>
    <row r="10" spans="1:6" s="14" customFormat="1" ht="20.25" customHeight="1">
      <c r="A10" s="388">
        <v>2</v>
      </c>
      <c r="B10" s="595" t="s">
        <v>547</v>
      </c>
      <c r="C10" s="388" t="s">
        <v>12</v>
      </c>
      <c r="D10" s="388">
        <v>75.6</v>
      </c>
      <c r="E10" s="389">
        <v>77</v>
      </c>
      <c r="F10" s="685">
        <f>E10-D10</f>
        <v>1.4000000000000057</v>
      </c>
    </row>
    <row r="11" spans="1:6" s="14" customFormat="1" ht="36" customHeight="1">
      <c r="A11" s="388"/>
      <c r="B11" s="595" t="s">
        <v>548</v>
      </c>
      <c r="C11" s="388" t="s">
        <v>12</v>
      </c>
      <c r="D11" s="388">
        <v>75.2</v>
      </c>
      <c r="E11" s="388">
        <v>75.3</v>
      </c>
      <c r="F11" s="685">
        <f>E11-D11</f>
        <v>0.09999999999999432</v>
      </c>
    </row>
    <row r="12" spans="1:6" s="14" customFormat="1" ht="20.25" customHeight="1">
      <c r="A12" s="388">
        <v>3</v>
      </c>
      <c r="B12" s="595" t="s">
        <v>549</v>
      </c>
      <c r="C12" s="388" t="s">
        <v>12</v>
      </c>
      <c r="D12" s="388">
        <v>94.1</v>
      </c>
      <c r="E12" s="390">
        <v>94.1</v>
      </c>
      <c r="F12" s="575"/>
    </row>
    <row r="13" spans="1:6" s="14" customFormat="1" ht="20.25" customHeight="1">
      <c r="A13" s="388">
        <v>4</v>
      </c>
      <c r="B13" s="595" t="s">
        <v>679</v>
      </c>
      <c r="C13" s="388" t="s">
        <v>12</v>
      </c>
      <c r="D13" s="388">
        <v>83.6</v>
      </c>
      <c r="E13" s="389">
        <v>90</v>
      </c>
      <c r="F13" s="685">
        <f>E13-D13</f>
        <v>6.400000000000006</v>
      </c>
    </row>
    <row r="14" spans="1:6" s="14" customFormat="1" ht="33.75" customHeight="1">
      <c r="A14" s="601">
        <v>5</v>
      </c>
      <c r="B14" s="595" t="s">
        <v>680</v>
      </c>
      <c r="C14" s="388" t="s">
        <v>12</v>
      </c>
      <c r="D14" s="388">
        <v>100</v>
      </c>
      <c r="E14" s="388">
        <v>100</v>
      </c>
      <c r="F14" s="575"/>
    </row>
    <row r="15" spans="1:6" s="14" customFormat="1" ht="21.75" customHeight="1">
      <c r="A15" s="388">
        <v>6</v>
      </c>
      <c r="B15" s="595" t="s">
        <v>666</v>
      </c>
      <c r="C15" s="388" t="s">
        <v>131</v>
      </c>
      <c r="D15" s="388">
        <v>52.3</v>
      </c>
      <c r="E15" s="388">
        <v>21.5</v>
      </c>
      <c r="F15" s="685">
        <f>E15-D15</f>
        <v>-30.799999999999997</v>
      </c>
    </row>
    <row r="16" spans="1:6" s="14" customFormat="1" ht="33" customHeight="1">
      <c r="A16" s="388"/>
      <c r="B16" s="595" t="s">
        <v>584</v>
      </c>
      <c r="C16" s="388" t="s">
        <v>131</v>
      </c>
      <c r="D16" s="390">
        <v>52.3</v>
      </c>
      <c r="E16" s="687">
        <v>20</v>
      </c>
      <c r="F16" s="685">
        <f>E16-D16</f>
        <v>-32.3</v>
      </c>
    </row>
    <row r="17" spans="1:6" s="14" customFormat="1" ht="20.25" customHeight="1">
      <c r="A17" s="388">
        <v>7</v>
      </c>
      <c r="B17" s="595" t="s">
        <v>585</v>
      </c>
      <c r="C17" s="388" t="s">
        <v>131</v>
      </c>
      <c r="D17" s="391">
        <v>55.6</v>
      </c>
      <c r="E17" s="687">
        <v>30</v>
      </c>
      <c r="F17" s="685">
        <f>E17-D17</f>
        <v>-25.6</v>
      </c>
    </row>
    <row r="18" spans="1:6" s="14" customFormat="1" ht="39" customHeight="1">
      <c r="A18" s="388"/>
      <c r="B18" s="595" t="s">
        <v>586</v>
      </c>
      <c r="C18" s="388" t="s">
        <v>131</v>
      </c>
      <c r="D18" s="391">
        <v>55.6</v>
      </c>
      <c r="E18" s="389">
        <v>31</v>
      </c>
      <c r="F18" s="685">
        <f>E18-D18</f>
        <v>-24.6</v>
      </c>
    </row>
    <row r="19" spans="1:6" s="14" customFormat="1" ht="20.25" customHeight="1">
      <c r="A19" s="388">
        <v>8</v>
      </c>
      <c r="B19" s="595" t="s">
        <v>448</v>
      </c>
      <c r="C19" s="388" t="s">
        <v>449</v>
      </c>
      <c r="D19" s="688">
        <v>1</v>
      </c>
      <c r="E19" s="392"/>
      <c r="F19" s="575"/>
    </row>
    <row r="20" spans="1:6" s="14" customFormat="1" ht="32.25" customHeight="1">
      <c r="A20" s="388"/>
      <c r="B20" s="595" t="s">
        <v>640</v>
      </c>
      <c r="C20" s="388" t="s">
        <v>449</v>
      </c>
      <c r="D20" s="391">
        <v>1</v>
      </c>
      <c r="E20" s="388"/>
      <c r="F20" s="575"/>
    </row>
    <row r="21" spans="1:6" s="14" customFormat="1" ht="20.25" customHeight="1">
      <c r="A21" s="388">
        <v>9</v>
      </c>
      <c r="B21" s="595" t="s">
        <v>132</v>
      </c>
      <c r="C21" s="388" t="s">
        <v>12</v>
      </c>
      <c r="D21" s="391">
        <v>3.8</v>
      </c>
      <c r="E21" s="388">
        <v>2.7</v>
      </c>
      <c r="F21" s="685">
        <f aca="true" t="shared" si="0" ref="F21:F26">E21-D21</f>
        <v>-1.0999999999999996</v>
      </c>
    </row>
    <row r="22" spans="1:6" s="14" customFormat="1" ht="20.25" customHeight="1">
      <c r="A22" s="388">
        <v>10</v>
      </c>
      <c r="B22" s="595" t="s">
        <v>450</v>
      </c>
      <c r="C22" s="388" t="s">
        <v>12</v>
      </c>
      <c r="D22" s="391">
        <v>3.8</v>
      </c>
      <c r="E22" s="389">
        <v>38</v>
      </c>
      <c r="F22" s="685">
        <f t="shared" si="0"/>
        <v>34.2</v>
      </c>
    </row>
    <row r="23" spans="1:6" s="14" customFormat="1" ht="20.25" customHeight="1">
      <c r="A23" s="388">
        <v>11</v>
      </c>
      <c r="B23" s="595" t="s">
        <v>641</v>
      </c>
      <c r="C23" s="388" t="s">
        <v>12</v>
      </c>
      <c r="D23" s="391">
        <v>16.3</v>
      </c>
      <c r="E23" s="388">
        <v>16.5</v>
      </c>
      <c r="F23" s="685">
        <f t="shared" si="0"/>
        <v>0.1999999999999993</v>
      </c>
    </row>
    <row r="24" spans="1:7" s="14" customFormat="1" ht="35.25" customHeight="1">
      <c r="A24" s="388"/>
      <c r="B24" s="595" t="s">
        <v>642</v>
      </c>
      <c r="C24" s="388" t="s">
        <v>12</v>
      </c>
      <c r="D24" s="391">
        <v>16.7</v>
      </c>
      <c r="E24" s="388">
        <v>16.8</v>
      </c>
      <c r="F24" s="685">
        <f t="shared" si="0"/>
        <v>0.10000000000000142</v>
      </c>
      <c r="G24" s="15"/>
    </row>
    <row r="25" spans="1:12" s="14" customFormat="1" ht="32.25" customHeight="1">
      <c r="A25" s="601">
        <v>12</v>
      </c>
      <c r="B25" s="595" t="s">
        <v>643</v>
      </c>
      <c r="C25" s="388" t="s">
        <v>12</v>
      </c>
      <c r="D25" s="391">
        <v>23.8</v>
      </c>
      <c r="E25" s="388">
        <v>24.5</v>
      </c>
      <c r="F25" s="685">
        <f t="shared" si="0"/>
        <v>0.6999999999999993</v>
      </c>
      <c r="H25" s="794"/>
      <c r="I25" s="794"/>
      <c r="J25" s="13"/>
      <c r="K25" s="794"/>
      <c r="L25" s="794"/>
    </row>
    <row r="26" spans="1:7" s="14" customFormat="1" ht="36.75" customHeight="1">
      <c r="A26" s="601">
        <v>13</v>
      </c>
      <c r="B26" s="595" t="s">
        <v>668</v>
      </c>
      <c r="C26" s="388" t="s">
        <v>12</v>
      </c>
      <c r="D26" s="391">
        <v>24.3</v>
      </c>
      <c r="E26" s="388">
        <v>85</v>
      </c>
      <c r="F26" s="685">
        <f t="shared" si="0"/>
        <v>60.7</v>
      </c>
      <c r="G26" s="13"/>
    </row>
    <row r="27" spans="1:9" s="14" customFormat="1" ht="20.25" customHeight="1">
      <c r="A27" s="388">
        <v>14</v>
      </c>
      <c r="B27" s="595" t="s">
        <v>133</v>
      </c>
      <c r="C27" s="388" t="s">
        <v>12</v>
      </c>
      <c r="D27" s="391">
        <v>100</v>
      </c>
      <c r="E27" s="388">
        <v>100</v>
      </c>
      <c r="F27" s="575"/>
      <c r="G27" s="15"/>
      <c r="I27" s="223"/>
    </row>
    <row r="28" spans="1:6" s="14" customFormat="1" ht="20.25" customHeight="1" hidden="1">
      <c r="A28" s="388">
        <v>15</v>
      </c>
      <c r="B28" s="595" t="s">
        <v>451</v>
      </c>
      <c r="C28" s="388" t="s">
        <v>12</v>
      </c>
      <c r="D28" s="391">
        <v>0</v>
      </c>
      <c r="E28" s="388"/>
      <c r="F28" s="575" t="e">
        <f>E28-#REF!</f>
        <v>#REF!</v>
      </c>
    </row>
    <row r="29" spans="1:7" s="14" customFormat="1" ht="20.25" customHeight="1">
      <c r="A29" s="388">
        <v>15</v>
      </c>
      <c r="B29" s="595" t="s">
        <v>452</v>
      </c>
      <c r="C29" s="388" t="s">
        <v>12</v>
      </c>
      <c r="D29" s="391">
        <v>49.5</v>
      </c>
      <c r="E29" s="388">
        <v>48.5</v>
      </c>
      <c r="F29" s="686">
        <f>E29-D29</f>
        <v>-1</v>
      </c>
      <c r="G29" s="13"/>
    </row>
    <row r="30" spans="1:6" s="14" customFormat="1" ht="33" customHeight="1">
      <c r="A30" s="388"/>
      <c r="B30" s="595" t="s">
        <v>587</v>
      </c>
      <c r="C30" s="388" t="s">
        <v>12</v>
      </c>
      <c r="D30" s="390">
        <v>43.6</v>
      </c>
      <c r="E30" s="389">
        <v>44</v>
      </c>
      <c r="F30" s="685">
        <f>E30-D30</f>
        <v>0.3999999999999986</v>
      </c>
    </row>
    <row r="31" spans="1:6" s="14" customFormat="1" ht="20.25" customHeight="1">
      <c r="A31" s="388">
        <v>16</v>
      </c>
      <c r="B31" s="595" t="s">
        <v>453</v>
      </c>
      <c r="C31" s="388"/>
      <c r="D31" s="388"/>
      <c r="E31" s="388"/>
      <c r="F31" s="575"/>
    </row>
    <row r="32" spans="1:6" s="14" customFormat="1" ht="20.25" customHeight="1" hidden="1">
      <c r="A32" s="388"/>
      <c r="B32" s="595" t="s">
        <v>134</v>
      </c>
      <c r="C32" s="388" t="s">
        <v>135</v>
      </c>
      <c r="D32" s="388"/>
      <c r="E32" s="388"/>
      <c r="F32" s="575" t="e">
        <f>E32-#REF!</f>
        <v>#REF!</v>
      </c>
    </row>
    <row r="33" spans="1:11" s="14" customFormat="1" ht="20.25" customHeight="1" hidden="1">
      <c r="A33" s="388"/>
      <c r="B33" s="595" t="s">
        <v>136</v>
      </c>
      <c r="C33" s="388" t="s">
        <v>454</v>
      </c>
      <c r="D33" s="388"/>
      <c r="E33" s="388"/>
      <c r="F33" s="575" t="e">
        <f>E33-#REF!</f>
        <v>#REF!</v>
      </c>
      <c r="K33" s="17"/>
    </row>
    <row r="34" spans="1:6" s="14" customFormat="1" ht="20.25" customHeight="1" hidden="1">
      <c r="A34" s="388"/>
      <c r="B34" s="595" t="s">
        <v>455</v>
      </c>
      <c r="C34" s="388" t="s">
        <v>454</v>
      </c>
      <c r="D34" s="388"/>
      <c r="E34" s="388"/>
      <c r="F34" s="575" t="e">
        <f>E34-#REF!</f>
        <v>#REF!</v>
      </c>
    </row>
    <row r="35" spans="1:6" s="14" customFormat="1" ht="20.25" customHeight="1">
      <c r="A35" s="388"/>
      <c r="B35" s="595" t="s">
        <v>644</v>
      </c>
      <c r="C35" s="388" t="s">
        <v>135</v>
      </c>
      <c r="D35" s="388">
        <v>10</v>
      </c>
      <c r="E35" s="388">
        <v>8.5</v>
      </c>
      <c r="F35" s="685">
        <f>E35-D35</f>
        <v>-1.5</v>
      </c>
    </row>
    <row r="36" spans="1:9" s="14" customFormat="1" ht="33" customHeight="1">
      <c r="A36" s="388"/>
      <c r="B36" s="595" t="s">
        <v>588</v>
      </c>
      <c r="C36" s="388" t="s">
        <v>135</v>
      </c>
      <c r="D36" s="388">
        <v>10</v>
      </c>
      <c r="E36" s="388">
        <v>8.5</v>
      </c>
      <c r="F36" s="685">
        <f>E36-D36</f>
        <v>-1.5</v>
      </c>
      <c r="I36" s="15"/>
    </row>
    <row r="37" spans="1:6" s="14" customFormat="1" ht="20.25" customHeight="1">
      <c r="A37" s="388"/>
      <c r="B37" s="595" t="s">
        <v>137</v>
      </c>
      <c r="C37" s="388" t="s">
        <v>12</v>
      </c>
      <c r="D37" s="388">
        <v>45.2</v>
      </c>
      <c r="E37" s="390">
        <v>47.7</v>
      </c>
      <c r="F37" s="685">
        <f>E37-D37</f>
        <v>2.5</v>
      </c>
    </row>
    <row r="38" spans="1:6" s="13" customFormat="1" ht="20.25" customHeight="1" hidden="1">
      <c r="A38" s="388"/>
      <c r="B38" s="595" t="s">
        <v>456</v>
      </c>
      <c r="C38" s="388" t="s">
        <v>12</v>
      </c>
      <c r="D38" s="386"/>
      <c r="E38" s="386"/>
      <c r="F38" s="575"/>
    </row>
    <row r="39" spans="1:6" s="14" customFormat="1" ht="20.25" customHeight="1" hidden="1">
      <c r="A39" s="388"/>
      <c r="B39" s="595" t="s">
        <v>138</v>
      </c>
      <c r="C39" s="388" t="s">
        <v>135</v>
      </c>
      <c r="D39" s="386"/>
      <c r="E39" s="386"/>
      <c r="F39" s="575"/>
    </row>
    <row r="40" spans="1:6" s="14" customFormat="1" ht="20.25" customHeight="1" hidden="1">
      <c r="A40" s="388"/>
      <c r="B40" s="595" t="s">
        <v>139</v>
      </c>
      <c r="C40" s="388" t="s">
        <v>135</v>
      </c>
      <c r="D40" s="388">
        <v>26.3</v>
      </c>
      <c r="E40" s="388"/>
      <c r="F40" s="575"/>
    </row>
    <row r="41" spans="1:6" s="14" customFormat="1" ht="20.25" customHeight="1" hidden="1">
      <c r="A41" s="388"/>
      <c r="B41" s="595" t="s">
        <v>366</v>
      </c>
      <c r="C41" s="388" t="s">
        <v>135</v>
      </c>
      <c r="D41" s="388">
        <v>0</v>
      </c>
      <c r="E41" s="388"/>
      <c r="F41" s="575"/>
    </row>
    <row r="42" spans="1:6" s="14" customFormat="1" ht="20.25" customHeight="1" hidden="1">
      <c r="A42" s="388"/>
      <c r="B42" s="595" t="s">
        <v>457</v>
      </c>
      <c r="C42" s="388" t="s">
        <v>135</v>
      </c>
      <c r="D42" s="392">
        <v>16.5</v>
      </c>
      <c r="E42" s="392">
        <v>0.02</v>
      </c>
      <c r="F42" s="575"/>
    </row>
    <row r="43" spans="1:6" s="14" customFormat="1" ht="20.25" customHeight="1">
      <c r="A43" s="388">
        <v>17</v>
      </c>
      <c r="B43" s="595" t="s">
        <v>140</v>
      </c>
      <c r="C43" s="388" t="s">
        <v>141</v>
      </c>
      <c r="D43" s="392"/>
      <c r="E43" s="392"/>
      <c r="F43" s="575"/>
    </row>
    <row r="44" spans="1:6" s="14" customFormat="1" ht="20.25" customHeight="1">
      <c r="A44" s="386" t="s">
        <v>196</v>
      </c>
      <c r="B44" s="596" t="s">
        <v>142</v>
      </c>
      <c r="C44" s="386"/>
      <c r="D44" s="392"/>
      <c r="E44" s="392"/>
      <c r="F44" s="575"/>
    </row>
    <row r="45" spans="1:6" s="14" customFormat="1" ht="20.25" customHeight="1">
      <c r="A45" s="388"/>
      <c r="B45" s="596" t="s">
        <v>143</v>
      </c>
      <c r="C45" s="388"/>
      <c r="D45" s="392">
        <f>D46+D47+D51</f>
        <v>15</v>
      </c>
      <c r="E45" s="392">
        <f>E46+E47+E51</f>
        <v>15</v>
      </c>
      <c r="F45" s="575">
        <v>100</v>
      </c>
    </row>
    <row r="46" spans="1:6" s="14" customFormat="1" ht="20.25" customHeight="1">
      <c r="A46" s="388">
        <v>1</v>
      </c>
      <c r="B46" s="595" t="s">
        <v>487</v>
      </c>
      <c r="C46" s="388" t="s">
        <v>488</v>
      </c>
      <c r="D46" s="388">
        <v>1</v>
      </c>
      <c r="E46" s="388">
        <v>1</v>
      </c>
      <c r="F46" s="389">
        <v>100</v>
      </c>
    </row>
    <row r="47" spans="1:6" s="14" customFormat="1" ht="20.25" customHeight="1">
      <c r="A47" s="388">
        <v>2</v>
      </c>
      <c r="B47" s="595" t="s">
        <v>144</v>
      </c>
      <c r="C47" s="388" t="s">
        <v>489</v>
      </c>
      <c r="D47" s="392">
        <v>2</v>
      </c>
      <c r="E47" s="392">
        <v>2</v>
      </c>
      <c r="F47" s="389">
        <v>100</v>
      </c>
    </row>
    <row r="48" spans="1:6" s="13" customFormat="1" ht="20.25" customHeight="1" hidden="1">
      <c r="A48" s="388">
        <v>3</v>
      </c>
      <c r="B48" s="595" t="s">
        <v>145</v>
      </c>
      <c r="C48" s="388" t="s">
        <v>146</v>
      </c>
      <c r="D48" s="388">
        <v>1</v>
      </c>
      <c r="E48" s="388">
        <v>1</v>
      </c>
      <c r="F48" s="389">
        <v>100</v>
      </c>
    </row>
    <row r="49" spans="1:6" s="13" customFormat="1" ht="20.25" customHeight="1" hidden="1">
      <c r="A49" s="388">
        <v>4</v>
      </c>
      <c r="B49" s="595" t="s">
        <v>147</v>
      </c>
      <c r="C49" s="388" t="s">
        <v>146</v>
      </c>
      <c r="D49" s="392">
        <v>1</v>
      </c>
      <c r="E49" s="392">
        <v>1</v>
      </c>
      <c r="F49" s="389">
        <v>100</v>
      </c>
    </row>
    <row r="50" spans="1:8" s="14" customFormat="1" ht="20.25" customHeight="1" hidden="1">
      <c r="A50" s="388">
        <v>5</v>
      </c>
      <c r="B50" s="595" t="s">
        <v>589</v>
      </c>
      <c r="C50" s="388" t="s">
        <v>488</v>
      </c>
      <c r="D50" s="689">
        <v>1</v>
      </c>
      <c r="E50" s="689">
        <v>1</v>
      </c>
      <c r="F50" s="389">
        <v>100</v>
      </c>
      <c r="G50" s="13"/>
      <c r="H50" s="16"/>
    </row>
    <row r="51" spans="1:6" s="14" customFormat="1" ht="20.25" customHeight="1">
      <c r="A51" s="388">
        <v>3</v>
      </c>
      <c r="B51" s="595" t="s">
        <v>458</v>
      </c>
      <c r="C51" s="388" t="s">
        <v>148</v>
      </c>
      <c r="D51" s="690">
        <v>12</v>
      </c>
      <c r="E51" s="690">
        <v>12</v>
      </c>
      <c r="F51" s="389">
        <v>100</v>
      </c>
    </row>
    <row r="52" spans="1:6" s="14" customFormat="1" ht="20.25" customHeight="1">
      <c r="A52" s="388">
        <v>4</v>
      </c>
      <c r="B52" s="595" t="s">
        <v>459</v>
      </c>
      <c r="C52" s="388" t="s">
        <v>12</v>
      </c>
      <c r="D52" s="389">
        <v>100</v>
      </c>
      <c r="E52" s="389">
        <v>100</v>
      </c>
      <c r="F52" s="575"/>
    </row>
    <row r="53" spans="1:6" s="14" customFormat="1" ht="20.25" customHeight="1">
      <c r="A53" s="386" t="s">
        <v>197</v>
      </c>
      <c r="B53" s="596" t="s">
        <v>149</v>
      </c>
      <c r="C53" s="386"/>
      <c r="D53" s="388"/>
      <c r="E53" s="388"/>
      <c r="F53" s="575"/>
    </row>
    <row r="54" spans="1:6" s="54" customFormat="1" ht="20.25" customHeight="1">
      <c r="A54" s="386"/>
      <c r="B54" s="596" t="s">
        <v>460</v>
      </c>
      <c r="C54" s="386" t="s">
        <v>150</v>
      </c>
      <c r="D54" s="386">
        <v>186</v>
      </c>
      <c r="E54" s="386">
        <f>E57+E60</f>
        <v>196</v>
      </c>
      <c r="F54" s="692">
        <f>E54/D54*100</f>
        <v>105.3763440860215</v>
      </c>
    </row>
    <row r="55" spans="1:6" s="13" customFormat="1" ht="20.25" customHeight="1">
      <c r="A55" s="388"/>
      <c r="B55" s="595" t="s">
        <v>461</v>
      </c>
      <c r="C55" s="388" t="s">
        <v>150</v>
      </c>
      <c r="D55" s="388">
        <v>150</v>
      </c>
      <c r="E55" s="388">
        <v>160</v>
      </c>
      <c r="F55" s="575">
        <f>E55/D55*100</f>
        <v>106.66666666666667</v>
      </c>
    </row>
    <row r="56" spans="1:6" s="14" customFormat="1" ht="20.25" customHeight="1">
      <c r="A56" s="388"/>
      <c r="B56" s="595" t="s">
        <v>462</v>
      </c>
      <c r="C56" s="388" t="s">
        <v>151</v>
      </c>
      <c r="D56" s="390">
        <v>25.4</v>
      </c>
      <c r="E56" s="390">
        <f>E55*10000/59407</f>
        <v>26.93285303078762</v>
      </c>
      <c r="F56" s="575">
        <f>E56-D56</f>
        <v>1.5328530307876207</v>
      </c>
    </row>
    <row r="57" spans="1:6" s="14" customFormat="1" ht="20.25" customHeight="1">
      <c r="A57" s="386">
        <v>1</v>
      </c>
      <c r="B57" s="596" t="s">
        <v>674</v>
      </c>
      <c r="C57" s="386" t="s">
        <v>150</v>
      </c>
      <c r="D57" s="386">
        <v>150</v>
      </c>
      <c r="E57" s="691">
        <f>E58+E59</f>
        <v>160</v>
      </c>
      <c r="F57" s="692">
        <f>E57/D57*100</f>
        <v>106.66666666666667</v>
      </c>
    </row>
    <row r="58" spans="1:6" s="14" customFormat="1" ht="20.25" customHeight="1">
      <c r="A58" s="388"/>
      <c r="B58" s="595" t="s">
        <v>152</v>
      </c>
      <c r="C58" s="388" t="s">
        <v>150</v>
      </c>
      <c r="D58" s="389">
        <v>120</v>
      </c>
      <c r="E58" s="389">
        <v>130</v>
      </c>
      <c r="F58" s="575">
        <f>E58/D58*100</f>
        <v>108.33333333333333</v>
      </c>
    </row>
    <row r="59" spans="1:6" s="14" customFormat="1" ht="20.25" customHeight="1">
      <c r="A59" s="388"/>
      <c r="B59" s="595" t="s">
        <v>673</v>
      </c>
      <c r="C59" s="388" t="s">
        <v>150</v>
      </c>
      <c r="D59" s="388">
        <v>30</v>
      </c>
      <c r="E59" s="388">
        <v>30</v>
      </c>
      <c r="F59" s="686">
        <f>E59/D59*100</f>
        <v>100</v>
      </c>
    </row>
    <row r="60" spans="1:6" s="88" customFormat="1" ht="20.25" customHeight="1">
      <c r="A60" s="386">
        <v>2</v>
      </c>
      <c r="B60" s="596" t="s">
        <v>153</v>
      </c>
      <c r="C60" s="386" t="s">
        <v>150</v>
      </c>
      <c r="D60" s="693">
        <v>36</v>
      </c>
      <c r="E60" s="693">
        <v>36</v>
      </c>
      <c r="F60" s="694">
        <f>E60/D60*100</f>
        <v>100</v>
      </c>
    </row>
    <row r="61" spans="1:6" s="14" customFormat="1" ht="20.25" customHeight="1">
      <c r="A61" s="386" t="s">
        <v>198</v>
      </c>
      <c r="B61" s="596" t="s">
        <v>154</v>
      </c>
      <c r="C61" s="386"/>
      <c r="D61" s="388"/>
      <c r="E61" s="388"/>
      <c r="F61" s="575"/>
    </row>
    <row r="62" spans="1:7" s="14" customFormat="1" ht="20.25" customHeight="1">
      <c r="A62" s="391">
        <v>1</v>
      </c>
      <c r="B62" s="597" t="s">
        <v>463</v>
      </c>
      <c r="C62" s="391" t="s">
        <v>151</v>
      </c>
      <c r="D62" s="388">
        <v>10</v>
      </c>
      <c r="E62" s="390">
        <v>10.4</v>
      </c>
      <c r="F62" s="685">
        <f>E62-D62</f>
        <v>0.40000000000000036</v>
      </c>
      <c r="G62" s="18"/>
    </row>
    <row r="63" spans="1:7" s="14" customFormat="1" ht="20.25" customHeight="1">
      <c r="A63" s="391">
        <v>2</v>
      </c>
      <c r="B63" s="597" t="s">
        <v>464</v>
      </c>
      <c r="C63" s="391" t="s">
        <v>151</v>
      </c>
      <c r="D63" s="696">
        <v>0.5</v>
      </c>
      <c r="E63" s="696">
        <f>3*10000/59407</f>
        <v>0.5049909943272678</v>
      </c>
      <c r="F63" s="575"/>
      <c r="G63" s="18"/>
    </row>
    <row r="64" spans="1:6" s="88" customFormat="1" ht="20.25" customHeight="1">
      <c r="A64" s="391">
        <v>3</v>
      </c>
      <c r="B64" s="597" t="s">
        <v>465</v>
      </c>
      <c r="C64" s="391" t="s">
        <v>12</v>
      </c>
      <c r="D64" s="391">
        <v>100</v>
      </c>
      <c r="E64" s="687">
        <v>100</v>
      </c>
      <c r="F64" s="685"/>
    </row>
    <row r="65" spans="1:6" s="14" customFormat="1" ht="20.25" customHeight="1">
      <c r="A65" s="391">
        <v>4</v>
      </c>
      <c r="B65" s="597" t="s">
        <v>678</v>
      </c>
      <c r="C65" s="391" t="s">
        <v>12</v>
      </c>
      <c r="D65" s="388">
        <v>100</v>
      </c>
      <c r="E65" s="389">
        <v>100</v>
      </c>
      <c r="F65" s="575"/>
    </row>
    <row r="66" spans="1:7" s="13" customFormat="1" ht="20.25" customHeight="1">
      <c r="A66" s="391">
        <v>5</v>
      </c>
      <c r="B66" s="597" t="s">
        <v>155</v>
      </c>
      <c r="C66" s="391" t="s">
        <v>12</v>
      </c>
      <c r="D66" s="395"/>
      <c r="E66" s="395"/>
      <c r="F66" s="575"/>
      <c r="G66" s="19"/>
    </row>
    <row r="67" spans="1:7" s="14" customFormat="1" ht="20.25" customHeight="1">
      <c r="A67" s="386" t="s">
        <v>156</v>
      </c>
      <c r="B67" s="596" t="s">
        <v>466</v>
      </c>
      <c r="C67" s="388"/>
      <c r="D67" s="247"/>
      <c r="E67" s="247"/>
      <c r="F67" s="575"/>
      <c r="G67" s="19"/>
    </row>
    <row r="68" spans="1:7" s="14" customFormat="1" ht="20.25" customHeight="1">
      <c r="A68" s="388"/>
      <c r="B68" s="595" t="s">
        <v>675</v>
      </c>
      <c r="C68" s="388" t="s">
        <v>157</v>
      </c>
      <c r="D68" s="393">
        <v>10</v>
      </c>
      <c r="E68" s="393">
        <v>11</v>
      </c>
      <c r="F68" s="686">
        <f>E68/D68*100</f>
        <v>110.00000000000001</v>
      </c>
      <c r="G68" s="19"/>
    </row>
    <row r="69" spans="1:7" s="14" customFormat="1" ht="20.25" customHeight="1">
      <c r="A69" s="388"/>
      <c r="B69" s="598" t="s">
        <v>676</v>
      </c>
      <c r="C69" s="388" t="s">
        <v>12</v>
      </c>
      <c r="D69" s="699">
        <f>D68/12*100</f>
        <v>83.33333333333334</v>
      </c>
      <c r="E69" s="396">
        <f>E68/12*100</f>
        <v>91.66666666666666</v>
      </c>
      <c r="F69" s="575">
        <f>E69-D69</f>
        <v>8.333333333333314</v>
      </c>
      <c r="G69" s="19"/>
    </row>
    <row r="70" spans="1:7" s="14" customFormat="1" ht="20.25" customHeight="1">
      <c r="A70" s="386" t="s">
        <v>158</v>
      </c>
      <c r="B70" s="596" t="s">
        <v>159</v>
      </c>
      <c r="C70" s="388"/>
      <c r="D70" s="398"/>
      <c r="E70" s="398"/>
      <c r="F70" s="575"/>
      <c r="G70" s="19"/>
    </row>
    <row r="71" spans="1:7" s="14" customFormat="1" ht="20.25" customHeight="1">
      <c r="A71" s="386">
        <v>1</v>
      </c>
      <c r="B71" s="596" t="s">
        <v>160</v>
      </c>
      <c r="C71" s="388"/>
      <c r="D71" s="399"/>
      <c r="E71" s="400"/>
      <c r="F71" s="575"/>
      <c r="G71" s="19"/>
    </row>
    <row r="72" spans="1:7" s="14" customFormat="1" ht="20.25" customHeight="1">
      <c r="A72" s="386" t="s">
        <v>193</v>
      </c>
      <c r="B72" s="596" t="s">
        <v>161</v>
      </c>
      <c r="C72" s="386" t="s">
        <v>162</v>
      </c>
      <c r="D72" s="697">
        <v>59033</v>
      </c>
      <c r="E72" s="698">
        <v>59407</v>
      </c>
      <c r="F72" s="692">
        <f>E72/D72*100</f>
        <v>100.63354394999406</v>
      </c>
      <c r="G72" s="19"/>
    </row>
    <row r="73" spans="1:7" s="14" customFormat="1" ht="20.25" customHeight="1">
      <c r="A73" s="386"/>
      <c r="B73" s="595" t="s">
        <v>163</v>
      </c>
      <c r="C73" s="388" t="s">
        <v>131</v>
      </c>
      <c r="D73" s="396">
        <v>22.7</v>
      </c>
      <c r="E73" s="396">
        <v>24.6</v>
      </c>
      <c r="F73" s="685">
        <f>E73-D73</f>
        <v>1.9000000000000021</v>
      </c>
      <c r="G73" s="19"/>
    </row>
    <row r="74" spans="1:7" s="14" customFormat="1" ht="20.25" customHeight="1">
      <c r="A74" s="386"/>
      <c r="B74" s="595" t="s">
        <v>467</v>
      </c>
      <c r="C74" s="388" t="s">
        <v>131</v>
      </c>
      <c r="D74" s="699">
        <v>23.28</v>
      </c>
      <c r="E74" s="700">
        <v>19</v>
      </c>
      <c r="F74" s="575">
        <f>E74-D74</f>
        <v>-4.280000000000001</v>
      </c>
      <c r="G74" s="19"/>
    </row>
    <row r="75" spans="1:7" s="14" customFormat="1" ht="20.25" customHeight="1">
      <c r="A75" s="386"/>
      <c r="B75" s="595" t="s">
        <v>468</v>
      </c>
      <c r="C75" s="388" t="s">
        <v>131</v>
      </c>
      <c r="D75" s="701">
        <v>2.1</v>
      </c>
      <c r="E75" s="396">
        <v>1.9</v>
      </c>
      <c r="F75" s="685">
        <f>E75-D75</f>
        <v>-0.20000000000000018</v>
      </c>
      <c r="G75" s="19"/>
    </row>
    <row r="76" spans="1:7" s="14" customFormat="1" ht="20.25" customHeight="1">
      <c r="A76" s="386"/>
      <c r="B76" s="595" t="s">
        <v>164</v>
      </c>
      <c r="C76" s="388" t="s">
        <v>12</v>
      </c>
      <c r="D76" s="699">
        <v>2.26</v>
      </c>
      <c r="E76" s="702">
        <v>1.5</v>
      </c>
      <c r="F76" s="575">
        <f>E76-D76</f>
        <v>-0.7599999999999998</v>
      </c>
      <c r="G76" s="17"/>
    </row>
    <row r="77" spans="1:7" s="14" customFormat="1" ht="34.5" customHeight="1">
      <c r="A77" s="386"/>
      <c r="B77" s="599" t="s">
        <v>469</v>
      </c>
      <c r="C77" s="401" t="s">
        <v>470</v>
      </c>
      <c r="D77" s="704">
        <v>106</v>
      </c>
      <c r="E77" s="704" t="s">
        <v>669</v>
      </c>
      <c r="F77" s="575">
        <f>E77/D77*100</f>
        <v>107.54716981132076</v>
      </c>
      <c r="G77" s="17"/>
    </row>
    <row r="78" spans="1:7" s="14" customFormat="1" ht="20.25" customHeight="1">
      <c r="A78" s="386" t="s">
        <v>194</v>
      </c>
      <c r="B78" s="596" t="s">
        <v>165</v>
      </c>
      <c r="C78" s="388"/>
      <c r="D78" s="402"/>
      <c r="E78" s="402"/>
      <c r="F78" s="575"/>
      <c r="G78" s="17"/>
    </row>
    <row r="79" spans="1:8" s="14" customFormat="1" ht="20.25" customHeight="1">
      <c r="A79" s="388"/>
      <c r="B79" s="595" t="s">
        <v>166</v>
      </c>
      <c r="C79" s="388" t="s">
        <v>162</v>
      </c>
      <c r="D79" s="703">
        <v>30162</v>
      </c>
      <c r="E79" s="703">
        <f>E72-E81</f>
        <v>30003</v>
      </c>
      <c r="F79" s="575">
        <f>E79/D79*100</f>
        <v>99.47284662820768</v>
      </c>
      <c r="G79" s="17"/>
      <c r="H79" s="14" t="s">
        <v>192</v>
      </c>
    </row>
    <row r="80" spans="1:7" s="14" customFormat="1" ht="20.25" customHeight="1">
      <c r="A80" s="386"/>
      <c r="B80" s="595" t="s">
        <v>167</v>
      </c>
      <c r="C80" s="388" t="s">
        <v>12</v>
      </c>
      <c r="D80" s="699">
        <f>D79/D72*100</f>
        <v>51.09345620246303</v>
      </c>
      <c r="E80" s="705">
        <f>E79/E72*100</f>
        <v>50.504149342670054</v>
      </c>
      <c r="F80" s="575">
        <f>E80-D80</f>
        <v>-0.5893068597929769</v>
      </c>
      <c r="G80" s="17"/>
    </row>
    <row r="81" spans="1:6" s="14" customFormat="1" ht="20.25" customHeight="1">
      <c r="A81" s="388"/>
      <c r="B81" s="595" t="s">
        <v>168</v>
      </c>
      <c r="C81" s="388" t="s">
        <v>162</v>
      </c>
      <c r="D81" s="706">
        <f>D72-D79</f>
        <v>28871</v>
      </c>
      <c r="E81" s="706">
        <v>29404</v>
      </c>
      <c r="F81" s="575">
        <f>E81/D81*100</f>
        <v>101.84614318866683</v>
      </c>
    </row>
    <row r="82" spans="1:6" s="14" customFormat="1" ht="20.25" customHeight="1">
      <c r="A82" s="386"/>
      <c r="B82" s="595" t="s">
        <v>169</v>
      </c>
      <c r="C82" s="388" t="s">
        <v>12</v>
      </c>
      <c r="D82" s="394">
        <v>48.91</v>
      </c>
      <c r="E82" s="390">
        <f>E81/E72*100</f>
        <v>49.495850657329946</v>
      </c>
      <c r="F82" s="575">
        <f>E82-D82</f>
        <v>0.5858506573299493</v>
      </c>
    </row>
    <row r="83" spans="1:6" s="14" customFormat="1" ht="20.25" customHeight="1">
      <c r="A83" s="386" t="s">
        <v>195</v>
      </c>
      <c r="B83" s="596" t="s">
        <v>170</v>
      </c>
      <c r="C83" s="388"/>
      <c r="D83" s="388"/>
      <c r="E83" s="388"/>
      <c r="F83" s="575"/>
    </row>
    <row r="84" spans="1:7" s="14" customFormat="1" ht="22.5" customHeight="1">
      <c r="A84" s="388"/>
      <c r="B84" s="595" t="s">
        <v>171</v>
      </c>
      <c r="C84" s="388" t="s">
        <v>162</v>
      </c>
      <c r="D84" s="703">
        <v>7900</v>
      </c>
      <c r="E84" s="703">
        <v>8539</v>
      </c>
      <c r="F84" s="575">
        <f>E84/D84*100</f>
        <v>108.0886075949367</v>
      </c>
      <c r="G84" s="20"/>
    </row>
    <row r="85" spans="1:6" s="21" customFormat="1" ht="22.5" customHeight="1">
      <c r="A85" s="388"/>
      <c r="B85" s="595" t="s">
        <v>167</v>
      </c>
      <c r="C85" s="388" t="s">
        <v>12</v>
      </c>
      <c r="D85" s="707">
        <f>D84/D72*100</f>
        <v>13.382345467789204</v>
      </c>
      <c r="E85" s="708">
        <f>E84/E72*100</f>
        <v>14.373727001868467</v>
      </c>
      <c r="F85" s="575">
        <f>E85-D85</f>
        <v>0.9913815340792631</v>
      </c>
    </row>
    <row r="86" spans="1:6" s="13" customFormat="1" ht="20.25" customHeight="1">
      <c r="A86" s="388"/>
      <c r="B86" s="595" t="s">
        <v>172</v>
      </c>
      <c r="C86" s="388" t="s">
        <v>162</v>
      </c>
      <c r="D86" s="709">
        <f>D72-D84</f>
        <v>51133</v>
      </c>
      <c r="E86" s="703">
        <f>E72-E84</f>
        <v>50868</v>
      </c>
      <c r="F86" s="575">
        <f>E86/D86*100</f>
        <v>99.48174368802925</v>
      </c>
    </row>
    <row r="87" spans="1:6" s="14" customFormat="1" ht="20.25" customHeight="1">
      <c r="A87" s="388"/>
      <c r="B87" s="595" t="s">
        <v>169</v>
      </c>
      <c r="C87" s="388" t="s">
        <v>12</v>
      </c>
      <c r="D87" s="695">
        <f>D86/D72*100</f>
        <v>86.61765453221079</v>
      </c>
      <c r="E87" s="689">
        <f>E86/E72*100</f>
        <v>85.62627299813154</v>
      </c>
      <c r="F87" s="575">
        <f>E87-D87</f>
        <v>-0.9913815340792524</v>
      </c>
    </row>
    <row r="88" spans="1:6" s="14" customFormat="1" ht="20.25" customHeight="1">
      <c r="A88" s="386">
        <v>2</v>
      </c>
      <c r="B88" s="596" t="s">
        <v>173</v>
      </c>
      <c r="C88" s="388"/>
      <c r="D88" s="392"/>
      <c r="E88" s="393"/>
      <c r="F88" s="575"/>
    </row>
    <row r="89" spans="1:6" s="14" customFormat="1" ht="20.25" customHeight="1">
      <c r="A89" s="386"/>
      <c r="B89" s="595" t="s">
        <v>174</v>
      </c>
      <c r="C89" s="388" t="s">
        <v>12</v>
      </c>
      <c r="D89" s="392">
        <v>19.8</v>
      </c>
      <c r="E89" s="392">
        <v>26.3</v>
      </c>
      <c r="F89" s="685">
        <f>E89-D89</f>
        <v>6.5</v>
      </c>
    </row>
    <row r="90" spans="1:6" s="14" customFormat="1" ht="20.25" customHeight="1">
      <c r="A90" s="386"/>
      <c r="B90" s="595" t="s">
        <v>677</v>
      </c>
      <c r="C90" s="388" t="s">
        <v>12</v>
      </c>
      <c r="D90" s="388">
        <v>12.9</v>
      </c>
      <c r="E90" s="388">
        <v>21</v>
      </c>
      <c r="F90" s="685">
        <f>E90-D90</f>
        <v>8.1</v>
      </c>
    </row>
    <row r="91" spans="1:6" s="14" customFormat="1" ht="20.25" customHeight="1">
      <c r="A91" s="403"/>
      <c r="B91" s="594" t="s">
        <v>175</v>
      </c>
      <c r="C91" s="404" t="s">
        <v>12</v>
      </c>
      <c r="D91" s="392">
        <v>65.8</v>
      </c>
      <c r="E91" s="392">
        <v>67.3</v>
      </c>
      <c r="F91" s="685">
        <f>E91-D91</f>
        <v>1.5</v>
      </c>
    </row>
    <row r="92" spans="1:6" s="14" customFormat="1" ht="30.75" customHeight="1">
      <c r="A92" s="403"/>
      <c r="B92" s="594" t="s">
        <v>176</v>
      </c>
      <c r="C92" s="404" t="s">
        <v>12</v>
      </c>
      <c r="D92" s="392">
        <v>16.9</v>
      </c>
      <c r="E92" s="392">
        <v>16.1</v>
      </c>
      <c r="F92" s="685">
        <f>E92-D92</f>
        <v>-0.7999999999999972</v>
      </c>
    </row>
    <row r="93" spans="1:6" s="216" customFormat="1" ht="14.25">
      <c r="A93" s="403" t="s">
        <v>371</v>
      </c>
      <c r="B93" s="596" t="s">
        <v>471</v>
      </c>
      <c r="C93" s="386" t="s">
        <v>162</v>
      </c>
      <c r="D93" s="710">
        <v>58443</v>
      </c>
      <c r="E93" s="698">
        <f>E72</f>
        <v>59407</v>
      </c>
      <c r="F93" s="692">
        <f>E93/D93*100</f>
        <v>101.64947042417398</v>
      </c>
    </row>
    <row r="94" spans="1:6" ht="15">
      <c r="A94" s="386"/>
      <c r="B94" s="594" t="s">
        <v>472</v>
      </c>
      <c r="C94" s="386" t="s">
        <v>12</v>
      </c>
      <c r="D94" s="392">
        <v>99</v>
      </c>
      <c r="E94" s="392">
        <v>99.2</v>
      </c>
      <c r="F94" s="685">
        <f>E94-D94</f>
        <v>0.20000000000000284</v>
      </c>
    </row>
    <row r="95" spans="1:6" ht="15">
      <c r="A95" s="386" t="s">
        <v>473</v>
      </c>
      <c r="B95" s="596" t="s">
        <v>474</v>
      </c>
      <c r="C95" s="386"/>
      <c r="D95" s="392"/>
      <c r="E95" s="392"/>
      <c r="F95" s="575"/>
    </row>
    <row r="96" spans="1:6" ht="30">
      <c r="A96" s="388"/>
      <c r="B96" s="594" t="s">
        <v>475</v>
      </c>
      <c r="C96" s="388" t="s">
        <v>12</v>
      </c>
      <c r="D96" s="392">
        <v>77.4</v>
      </c>
      <c r="E96" s="392">
        <v>91</v>
      </c>
      <c r="F96" s="685">
        <f>E96-D96</f>
        <v>13.599999999999994</v>
      </c>
    </row>
    <row r="97" spans="1:6" ht="15" hidden="1">
      <c r="A97" s="388"/>
      <c r="B97" s="594" t="s">
        <v>476</v>
      </c>
      <c r="C97" s="392" t="s">
        <v>12</v>
      </c>
      <c r="D97" s="392"/>
      <c r="E97" s="392"/>
      <c r="F97" s="575" t="e">
        <f>E97-#REF!</f>
        <v>#REF!</v>
      </c>
    </row>
    <row r="98" spans="1:6" ht="30">
      <c r="A98" s="388"/>
      <c r="B98" s="594" t="s">
        <v>477</v>
      </c>
      <c r="C98" s="392" t="s">
        <v>162</v>
      </c>
      <c r="D98" s="392">
        <v>118</v>
      </c>
      <c r="E98" s="392">
        <v>180</v>
      </c>
      <c r="F98" s="575">
        <f>E98/D98*100</f>
        <v>152.54237288135593</v>
      </c>
    </row>
    <row r="99" spans="1:6" ht="21" customHeight="1">
      <c r="A99" s="405" t="s">
        <v>478</v>
      </c>
      <c r="B99" s="600" t="s">
        <v>479</v>
      </c>
      <c r="C99" s="386"/>
      <c r="D99" s="392"/>
      <c r="E99" s="392"/>
      <c r="F99" s="575"/>
    </row>
    <row r="100" spans="1:6" ht="21" customHeight="1">
      <c r="A100" s="388">
        <v>1</v>
      </c>
      <c r="B100" s="594" t="s">
        <v>480</v>
      </c>
      <c r="C100" s="392" t="s">
        <v>12</v>
      </c>
      <c r="D100" s="689">
        <v>95</v>
      </c>
      <c r="E100" s="696">
        <v>95.1</v>
      </c>
      <c r="F100" s="685">
        <f>E100-D100</f>
        <v>0.09999999999999432</v>
      </c>
    </row>
    <row r="101" spans="1:6" ht="21" customHeight="1">
      <c r="A101" s="388">
        <v>2</v>
      </c>
      <c r="B101" s="594" t="s">
        <v>481</v>
      </c>
      <c r="C101" s="392" t="s">
        <v>12</v>
      </c>
      <c r="D101" s="392">
        <v>95</v>
      </c>
      <c r="E101" s="696">
        <v>95.1</v>
      </c>
      <c r="F101" s="685">
        <f aca="true" t="shared" si="1" ref="F101:F106">E101-D101</f>
        <v>0.09999999999999432</v>
      </c>
    </row>
    <row r="102" spans="1:6" ht="21" customHeight="1">
      <c r="A102" s="388">
        <v>3</v>
      </c>
      <c r="B102" s="594" t="s">
        <v>482</v>
      </c>
      <c r="C102" s="392" t="s">
        <v>12</v>
      </c>
      <c r="D102" s="392">
        <v>95</v>
      </c>
      <c r="E102" s="689">
        <v>95</v>
      </c>
      <c r="F102" s="685"/>
    </row>
    <row r="103" spans="1:6" ht="21" customHeight="1">
      <c r="A103" s="388">
        <v>4</v>
      </c>
      <c r="B103" s="594" t="s">
        <v>483</v>
      </c>
      <c r="C103" s="392" t="s">
        <v>12</v>
      </c>
      <c r="D103" s="689">
        <v>95</v>
      </c>
      <c r="E103" s="689">
        <v>95</v>
      </c>
      <c r="F103" s="685"/>
    </row>
    <row r="104" spans="1:6" ht="36" customHeight="1" hidden="1">
      <c r="A104" s="388">
        <v>5</v>
      </c>
      <c r="B104" s="593" t="s">
        <v>484</v>
      </c>
      <c r="C104" s="392" t="s">
        <v>12</v>
      </c>
      <c r="D104" s="392"/>
      <c r="E104" s="392"/>
      <c r="F104" s="685">
        <f t="shared" si="1"/>
        <v>0</v>
      </c>
    </row>
    <row r="105" spans="1:6" ht="21" customHeight="1">
      <c r="A105" s="388">
        <v>5</v>
      </c>
      <c r="B105" s="593" t="s">
        <v>485</v>
      </c>
      <c r="C105" s="392" t="s">
        <v>12</v>
      </c>
      <c r="D105" s="392">
        <v>41.7</v>
      </c>
      <c r="E105" s="689">
        <v>45</v>
      </c>
      <c r="F105" s="685">
        <f t="shared" si="1"/>
        <v>3.299999999999997</v>
      </c>
    </row>
    <row r="106" spans="1:6" ht="30">
      <c r="A106" s="388">
        <v>6</v>
      </c>
      <c r="B106" s="593" t="s">
        <v>486</v>
      </c>
      <c r="C106" s="392" t="s">
        <v>12</v>
      </c>
      <c r="D106" s="392">
        <v>90</v>
      </c>
      <c r="E106" s="696">
        <v>90.8</v>
      </c>
      <c r="F106" s="685">
        <f t="shared" si="1"/>
        <v>0.7999999999999972</v>
      </c>
    </row>
    <row r="110" ht="15">
      <c r="B110" s="748"/>
    </row>
  </sheetData>
  <sheetProtection/>
  <mergeCells count="11">
    <mergeCell ref="C5:C7"/>
    <mergeCell ref="D5:D7"/>
    <mergeCell ref="E5:E7"/>
    <mergeCell ref="H25:I25"/>
    <mergeCell ref="F5:F7"/>
    <mergeCell ref="K25:L25"/>
    <mergeCell ref="A1:B1"/>
    <mergeCell ref="A2:F2"/>
    <mergeCell ref="A3:G3"/>
    <mergeCell ref="A5:A7"/>
    <mergeCell ref="B5:B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108"/>
  <sheetViews>
    <sheetView view="pageBreakPreview" zoomScale="115" zoomScaleSheetLayoutView="115" zoomScalePageLayoutView="0" workbookViewId="0" topLeftCell="A1">
      <pane ySplit="6" topLeftCell="A60" activePane="bottomLeft" state="frozen"/>
      <selection pane="topLeft" activeCell="A1" sqref="A1"/>
      <selection pane="bottomLeft" activeCell="A2" sqref="A2:R2"/>
    </sheetView>
  </sheetViews>
  <sheetFormatPr defaultColWidth="9.140625" defaultRowHeight="12.75"/>
  <cols>
    <col min="1" max="1" width="5.421875" style="78" customWidth="1"/>
    <col min="2" max="2" width="51.00390625" style="566" bestFit="1" customWidth="1"/>
    <col min="3" max="3" width="11.28125" style="78" customWidth="1"/>
    <col min="4" max="4" width="11.57421875" style="78" customWidth="1"/>
    <col min="5" max="5" width="10.57421875" style="78" customWidth="1"/>
    <col min="6" max="6" width="7.8515625" style="78" customWidth="1"/>
    <col min="7" max="7" width="10.57421875" style="78" customWidth="1"/>
    <col min="8" max="8" width="8.00390625" style="78" customWidth="1"/>
    <col min="9" max="9" width="9.00390625" style="78" customWidth="1"/>
    <col min="10" max="10" width="7.421875" style="78" customWidth="1"/>
    <col min="11" max="11" width="8.421875" style="78" customWidth="1"/>
    <col min="12" max="12" width="8.00390625" style="78" customWidth="1"/>
    <col min="13" max="13" width="8.140625" style="78" customWidth="1"/>
    <col min="14" max="14" width="9.00390625" style="78" customWidth="1"/>
    <col min="15" max="15" width="8.140625" style="78" customWidth="1"/>
    <col min="16" max="16" width="8.00390625" style="78" customWidth="1"/>
    <col min="17" max="17" width="8.140625" style="78" customWidth="1"/>
    <col min="18" max="18" width="17.8515625" style="78" customWidth="1"/>
    <col min="19" max="16384" width="9.140625" style="78" customWidth="1"/>
  </cols>
  <sheetData>
    <row r="1" spans="1:18" ht="29.25" customHeight="1">
      <c r="A1" s="805" t="s">
        <v>700</v>
      </c>
      <c r="B1" s="805"/>
      <c r="C1" s="805"/>
      <c r="D1" s="805"/>
      <c r="E1" s="805"/>
      <c r="F1" s="805"/>
      <c r="G1" s="805"/>
      <c r="H1" s="805"/>
      <c r="I1" s="805"/>
      <c r="J1" s="805"/>
      <c r="K1" s="805"/>
      <c r="L1" s="805"/>
      <c r="M1" s="805"/>
      <c r="N1" s="805"/>
      <c r="O1" s="805"/>
      <c r="P1" s="805"/>
      <c r="Q1" s="805"/>
      <c r="R1" s="805"/>
    </row>
    <row r="2" spans="1:18" ht="26.25" customHeight="1">
      <c r="A2" s="800" t="s">
        <v>697</v>
      </c>
      <c r="B2" s="800"/>
      <c r="C2" s="800"/>
      <c r="D2" s="800"/>
      <c r="E2" s="800"/>
      <c r="F2" s="800"/>
      <c r="G2" s="800"/>
      <c r="H2" s="800"/>
      <c r="I2" s="800"/>
      <c r="J2" s="800"/>
      <c r="K2" s="800"/>
      <c r="L2" s="800"/>
      <c r="M2" s="800"/>
      <c r="N2" s="800"/>
      <c r="O2" s="800"/>
      <c r="P2" s="800"/>
      <c r="Q2" s="800"/>
      <c r="R2" s="800"/>
    </row>
    <row r="3" spans="1:18" ht="15.75">
      <c r="A3" s="77"/>
      <c r="B3" s="561"/>
      <c r="C3" s="77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</row>
    <row r="4" spans="1:18" s="81" customFormat="1" ht="27.75" customHeight="1">
      <c r="A4" s="804" t="s">
        <v>252</v>
      </c>
      <c r="B4" s="804" t="s">
        <v>177</v>
      </c>
      <c r="C4" s="804" t="s">
        <v>45</v>
      </c>
      <c r="D4" s="804" t="s">
        <v>690</v>
      </c>
      <c r="E4" s="804" t="s">
        <v>683</v>
      </c>
      <c r="F4" s="804"/>
      <c r="G4" s="804"/>
      <c r="H4" s="804"/>
      <c r="I4" s="804"/>
      <c r="J4" s="804"/>
      <c r="K4" s="804"/>
      <c r="L4" s="804"/>
      <c r="M4" s="804"/>
      <c r="N4" s="804"/>
      <c r="O4" s="804"/>
      <c r="P4" s="804"/>
      <c r="Q4" s="804"/>
      <c r="R4" s="749" t="s">
        <v>701</v>
      </c>
    </row>
    <row r="5" spans="1:18" s="81" customFormat="1" ht="19.5" customHeight="1">
      <c r="A5" s="804"/>
      <c r="B5" s="804"/>
      <c r="C5" s="804"/>
      <c r="D5" s="804"/>
      <c r="E5" s="750" t="s">
        <v>2</v>
      </c>
      <c r="F5" s="749" t="s">
        <v>337</v>
      </c>
      <c r="G5" s="749"/>
      <c r="H5" s="749"/>
      <c r="I5" s="749"/>
      <c r="J5" s="749"/>
      <c r="K5" s="749"/>
      <c r="L5" s="749"/>
      <c r="M5" s="749"/>
      <c r="N5" s="749"/>
      <c r="O5" s="749"/>
      <c r="P5" s="749"/>
      <c r="Q5" s="749"/>
      <c r="R5" s="749"/>
    </row>
    <row r="6" spans="1:18" s="81" customFormat="1" ht="69" customHeight="1">
      <c r="A6" s="804"/>
      <c r="B6" s="804"/>
      <c r="C6" s="804"/>
      <c r="D6" s="804"/>
      <c r="E6" s="750"/>
      <c r="F6" s="744" t="s">
        <v>579</v>
      </c>
      <c r="G6" s="744" t="s">
        <v>374</v>
      </c>
      <c r="H6" s="744" t="s">
        <v>581</v>
      </c>
      <c r="I6" s="744" t="s">
        <v>550</v>
      </c>
      <c r="J6" s="744" t="s">
        <v>376</v>
      </c>
      <c r="K6" s="744" t="s">
        <v>375</v>
      </c>
      <c r="L6" s="744" t="s">
        <v>377</v>
      </c>
      <c r="M6" s="744" t="s">
        <v>576</v>
      </c>
      <c r="N6" s="744" t="s">
        <v>379</v>
      </c>
      <c r="O6" s="744" t="s">
        <v>380</v>
      </c>
      <c r="P6" s="744" t="s">
        <v>577</v>
      </c>
      <c r="Q6" s="744" t="s">
        <v>624</v>
      </c>
      <c r="R6" s="749"/>
    </row>
    <row r="7" spans="1:18" s="504" customFormat="1" ht="19.5" customHeight="1">
      <c r="A7" s="407" t="s">
        <v>202</v>
      </c>
      <c r="B7" s="562" t="s">
        <v>360</v>
      </c>
      <c r="C7" s="261"/>
      <c r="D7" s="408"/>
      <c r="E7" s="408"/>
      <c r="F7" s="408"/>
      <c r="G7" s="408"/>
      <c r="H7" s="408"/>
      <c r="I7" s="408"/>
      <c r="J7" s="408"/>
      <c r="K7" s="408"/>
      <c r="L7" s="408"/>
      <c r="M7" s="408"/>
      <c r="N7" s="408"/>
      <c r="O7" s="408"/>
      <c r="P7" s="408"/>
      <c r="Q7" s="408"/>
      <c r="R7" s="408"/>
    </row>
    <row r="8" spans="1:18" s="79" customFormat="1" ht="35.25" customHeight="1">
      <c r="A8" s="409" t="s">
        <v>191</v>
      </c>
      <c r="B8" s="558" t="s">
        <v>662</v>
      </c>
      <c r="C8" s="410"/>
      <c r="D8" s="411"/>
      <c r="E8" s="560"/>
      <c r="F8" s="411"/>
      <c r="G8" s="411"/>
      <c r="H8" s="411"/>
      <c r="I8" s="411"/>
      <c r="J8" s="411"/>
      <c r="K8" s="411"/>
      <c r="L8" s="411"/>
      <c r="M8" s="411"/>
      <c r="N8" s="411"/>
      <c r="O8" s="411"/>
      <c r="P8" s="411"/>
      <c r="Q8" s="411"/>
      <c r="R8" s="411"/>
    </row>
    <row r="9" spans="1:18" ht="31.5" customHeight="1">
      <c r="A9" s="225" t="s">
        <v>267</v>
      </c>
      <c r="B9" s="559" t="s">
        <v>590</v>
      </c>
      <c r="C9" s="224" t="s">
        <v>186</v>
      </c>
      <c r="D9" s="412">
        <v>9823</v>
      </c>
      <c r="E9" s="413">
        <f>SUM(F9:Q9)</f>
        <v>10019.609999999999</v>
      </c>
      <c r="F9" s="602">
        <f>2120*95%</f>
        <v>2014</v>
      </c>
      <c r="G9" s="602">
        <f>1030*92%</f>
        <v>947.6</v>
      </c>
      <c r="H9" s="602">
        <f>1432*84%</f>
        <v>1202.8799999999999</v>
      </c>
      <c r="I9" s="602">
        <f>796*87%</f>
        <v>692.52</v>
      </c>
      <c r="J9" s="602">
        <f>1057*85%</f>
        <v>898.4499999999999</v>
      </c>
      <c r="K9" s="602">
        <f>1269*80%</f>
        <v>1015.2</v>
      </c>
      <c r="L9" s="602">
        <f>635*84%</f>
        <v>533.4</v>
      </c>
      <c r="M9" s="602">
        <f>756*83%</f>
        <v>627.48</v>
      </c>
      <c r="N9" s="602">
        <f>481*80%</f>
        <v>384.8</v>
      </c>
      <c r="O9" s="602">
        <f>709*80%</f>
        <v>567.2</v>
      </c>
      <c r="P9" s="602">
        <f>883*80%</f>
        <v>706.4000000000001</v>
      </c>
      <c r="Q9" s="602">
        <f>524*82%</f>
        <v>429.67999999999995</v>
      </c>
      <c r="R9" s="228">
        <f>E9/D9*100</f>
        <v>102.0015270284027</v>
      </c>
    </row>
    <row r="10" spans="1:18" ht="19.5" customHeight="1">
      <c r="A10" s="225" t="s">
        <v>273</v>
      </c>
      <c r="B10" s="559" t="s">
        <v>591</v>
      </c>
      <c r="C10" s="224" t="s">
        <v>186</v>
      </c>
      <c r="D10" s="412">
        <v>9342</v>
      </c>
      <c r="E10" s="413">
        <f>SUM(F10:Q10)</f>
        <v>9466.1827</v>
      </c>
      <c r="F10" s="412">
        <f>F9*97%</f>
        <v>1953.58</v>
      </c>
      <c r="G10" s="412">
        <f>G9*96%</f>
        <v>909.696</v>
      </c>
      <c r="H10" s="412">
        <f>H9*95%</f>
        <v>1142.7359999999999</v>
      </c>
      <c r="I10" s="412">
        <f>I9*95%</f>
        <v>657.894</v>
      </c>
      <c r="J10" s="412">
        <f>J9*95%</f>
        <v>853.5274999999999</v>
      </c>
      <c r="K10" s="412">
        <f>K9*93%</f>
        <v>944.1360000000001</v>
      </c>
      <c r="L10" s="412">
        <f>L9*95%</f>
        <v>506.72999999999996</v>
      </c>
      <c r="M10" s="412">
        <f>M9*92%</f>
        <v>577.2816</v>
      </c>
      <c r="N10" s="412">
        <f>N9*93%</f>
        <v>357.86400000000003</v>
      </c>
      <c r="O10" s="412">
        <f>O9*90%</f>
        <v>510.4800000000001</v>
      </c>
      <c r="P10" s="412">
        <f>P9*93%</f>
        <v>656.9520000000001</v>
      </c>
      <c r="Q10" s="412">
        <f>Q9*92%</f>
        <v>395.30559999999997</v>
      </c>
      <c r="R10" s="414">
        <f>E10/D10*100</f>
        <v>101.32929458360094</v>
      </c>
    </row>
    <row r="11" spans="1:18" ht="36" customHeight="1">
      <c r="A11" s="503"/>
      <c r="B11" s="559" t="s">
        <v>592</v>
      </c>
      <c r="C11" s="224" t="s">
        <v>12</v>
      </c>
      <c r="D11" s="603">
        <v>80.84</v>
      </c>
      <c r="E11" s="605">
        <f>E10/11692*100</f>
        <v>80.96290369483407</v>
      </c>
      <c r="F11" s="605">
        <f>F10/2120*100</f>
        <v>92.15</v>
      </c>
      <c r="G11" s="605">
        <f>G10/1030*100</f>
        <v>88.32</v>
      </c>
      <c r="H11" s="606">
        <f>H10/1432*100</f>
        <v>79.8</v>
      </c>
      <c r="I11" s="605">
        <f>I10/796*100</f>
        <v>82.65</v>
      </c>
      <c r="J11" s="605">
        <f>J10/1057*100</f>
        <v>80.74999999999999</v>
      </c>
      <c r="K11" s="606">
        <f>K10/1269*100</f>
        <v>74.4</v>
      </c>
      <c r="L11" s="606">
        <f>L10/635*100</f>
        <v>79.8</v>
      </c>
      <c r="M11" s="605">
        <f>M10/756*100</f>
        <v>76.36</v>
      </c>
      <c r="N11" s="606">
        <f>N10/481*100</f>
        <v>74.4</v>
      </c>
      <c r="O11" s="413">
        <f>O10/709*100</f>
        <v>72.00000000000001</v>
      </c>
      <c r="P11" s="606">
        <f>P10/883*100</f>
        <v>74.4</v>
      </c>
      <c r="Q11" s="605">
        <f>Q10/524*100</f>
        <v>75.44</v>
      </c>
      <c r="R11" s="414">
        <f>E11-D11</f>
        <v>0.12290369483406494</v>
      </c>
    </row>
    <row r="12" spans="1:18" ht="21.75" customHeight="1">
      <c r="A12" s="225" t="s">
        <v>257</v>
      </c>
      <c r="B12" s="563" t="s">
        <v>646</v>
      </c>
      <c r="C12" s="416" t="s">
        <v>645</v>
      </c>
      <c r="D12" s="412">
        <v>121</v>
      </c>
      <c r="E12" s="413">
        <f>SUM(F12:Q12)</f>
        <v>121</v>
      </c>
      <c r="F12" s="329">
        <v>18</v>
      </c>
      <c r="G12" s="329">
        <v>13</v>
      </c>
      <c r="H12" s="329">
        <v>12</v>
      </c>
      <c r="I12" s="329">
        <v>8</v>
      </c>
      <c r="J12" s="329">
        <v>9</v>
      </c>
      <c r="K12" s="329">
        <v>13</v>
      </c>
      <c r="L12" s="329">
        <v>8</v>
      </c>
      <c r="M12" s="329">
        <v>9</v>
      </c>
      <c r="N12" s="329">
        <v>6</v>
      </c>
      <c r="O12" s="329">
        <v>7</v>
      </c>
      <c r="P12" s="329">
        <v>11</v>
      </c>
      <c r="Q12" s="329">
        <v>7</v>
      </c>
      <c r="R12" s="228">
        <v>100</v>
      </c>
    </row>
    <row r="13" spans="1:18" ht="32.25" customHeight="1">
      <c r="A13" s="225" t="s">
        <v>258</v>
      </c>
      <c r="B13" s="559" t="s">
        <v>593</v>
      </c>
      <c r="C13" s="224" t="s">
        <v>645</v>
      </c>
      <c r="D13" s="412">
        <v>109</v>
      </c>
      <c r="E13" s="413">
        <f>SUM(F13:Q13)</f>
        <v>118</v>
      </c>
      <c r="F13" s="329">
        <v>18</v>
      </c>
      <c r="G13" s="329">
        <v>13</v>
      </c>
      <c r="H13" s="329">
        <v>11</v>
      </c>
      <c r="I13" s="329">
        <v>7</v>
      </c>
      <c r="J13" s="329">
        <v>9</v>
      </c>
      <c r="K13" s="329">
        <v>13</v>
      </c>
      <c r="L13" s="329">
        <v>8</v>
      </c>
      <c r="M13" s="329">
        <v>9</v>
      </c>
      <c r="N13" s="329">
        <v>6</v>
      </c>
      <c r="O13" s="329">
        <v>7</v>
      </c>
      <c r="P13" s="329">
        <v>11</v>
      </c>
      <c r="Q13" s="329">
        <v>6</v>
      </c>
      <c r="R13" s="414">
        <f>E13/D13*100</f>
        <v>108.25688073394495</v>
      </c>
    </row>
    <row r="14" spans="1:18" s="89" customFormat="1" ht="19.5" customHeight="1">
      <c r="A14" s="225" t="s">
        <v>647</v>
      </c>
      <c r="B14" s="563" t="s">
        <v>594</v>
      </c>
      <c r="C14" s="224" t="s">
        <v>645</v>
      </c>
      <c r="D14" s="412">
        <v>97</v>
      </c>
      <c r="E14" s="226">
        <f>SUM(F14:Q14)</f>
        <v>99</v>
      </c>
      <c r="F14" s="226">
        <v>15</v>
      </c>
      <c r="G14" s="226">
        <v>12</v>
      </c>
      <c r="H14" s="226">
        <v>9</v>
      </c>
      <c r="I14" s="226">
        <v>6</v>
      </c>
      <c r="J14" s="226">
        <v>7</v>
      </c>
      <c r="K14" s="226">
        <v>11</v>
      </c>
      <c r="L14" s="226">
        <v>7</v>
      </c>
      <c r="M14" s="226">
        <v>7</v>
      </c>
      <c r="N14" s="226">
        <v>5</v>
      </c>
      <c r="O14" s="226">
        <v>6</v>
      </c>
      <c r="P14" s="226">
        <v>9</v>
      </c>
      <c r="Q14" s="228">
        <v>5</v>
      </c>
      <c r="R14" s="414">
        <f>E14/D14*100</f>
        <v>102.06185567010309</v>
      </c>
    </row>
    <row r="15" spans="1:18" s="89" customFormat="1" ht="37.5" customHeight="1">
      <c r="A15" s="503"/>
      <c r="B15" s="563" t="s">
        <v>595</v>
      </c>
      <c r="C15" s="416" t="s">
        <v>12</v>
      </c>
      <c r="D15" s="607">
        <v>80.17</v>
      </c>
      <c r="E15" s="417">
        <f>E14/E12*100</f>
        <v>81.81818181818183</v>
      </c>
      <c r="F15" s="417">
        <f aca="true" t="shared" si="0" ref="F15:Q15">F14/F12*100</f>
        <v>83.33333333333334</v>
      </c>
      <c r="G15" s="417">
        <f t="shared" si="0"/>
        <v>92.3076923076923</v>
      </c>
      <c r="H15" s="226">
        <f t="shared" si="0"/>
        <v>75</v>
      </c>
      <c r="I15" s="226">
        <f t="shared" si="0"/>
        <v>75</v>
      </c>
      <c r="J15" s="417">
        <f t="shared" si="0"/>
        <v>77.77777777777779</v>
      </c>
      <c r="K15" s="417">
        <f t="shared" si="0"/>
        <v>84.61538461538461</v>
      </c>
      <c r="L15" s="417">
        <f t="shared" si="0"/>
        <v>87.5</v>
      </c>
      <c r="M15" s="417">
        <f t="shared" si="0"/>
        <v>77.77777777777779</v>
      </c>
      <c r="N15" s="417">
        <f t="shared" si="0"/>
        <v>83.33333333333334</v>
      </c>
      <c r="O15" s="417">
        <f t="shared" si="0"/>
        <v>85.71428571428571</v>
      </c>
      <c r="P15" s="417">
        <f t="shared" si="0"/>
        <v>81.81818181818183</v>
      </c>
      <c r="Q15" s="417">
        <f t="shared" si="0"/>
        <v>71.42857142857143</v>
      </c>
      <c r="R15" s="414">
        <f>E15-D15</f>
        <v>1.6481818181818255</v>
      </c>
    </row>
    <row r="16" spans="1:18" ht="31.5" customHeight="1">
      <c r="A16" s="225" t="s">
        <v>278</v>
      </c>
      <c r="B16" s="564" t="s">
        <v>596</v>
      </c>
      <c r="C16" s="224" t="s">
        <v>288</v>
      </c>
      <c r="D16" s="412">
        <v>116</v>
      </c>
      <c r="E16" s="413">
        <f>SUM(F16:Q16)</f>
        <v>120</v>
      </c>
      <c r="F16" s="413">
        <f>120-44</f>
        <v>76</v>
      </c>
      <c r="G16" s="413">
        <f>3+1</f>
        <v>4</v>
      </c>
      <c r="H16" s="413">
        <v>4</v>
      </c>
      <c r="I16" s="413">
        <v>4</v>
      </c>
      <c r="J16" s="413">
        <v>6</v>
      </c>
      <c r="K16" s="413">
        <v>5</v>
      </c>
      <c r="L16" s="413">
        <v>4</v>
      </c>
      <c r="M16" s="413">
        <v>4</v>
      </c>
      <c r="N16" s="413">
        <v>3</v>
      </c>
      <c r="O16" s="413">
        <v>3</v>
      </c>
      <c r="P16" s="413">
        <v>4</v>
      </c>
      <c r="Q16" s="228">
        <v>3</v>
      </c>
      <c r="R16" s="414">
        <f>E16/D16*100</f>
        <v>103.44827586206897</v>
      </c>
    </row>
    <row r="17" spans="1:18" ht="30.75" customHeight="1">
      <c r="A17" s="225" t="s">
        <v>648</v>
      </c>
      <c r="B17" s="564" t="s">
        <v>597</v>
      </c>
      <c r="C17" s="224" t="s">
        <v>288</v>
      </c>
      <c r="D17" s="412">
        <v>114</v>
      </c>
      <c r="E17" s="413">
        <f>SUM(F17:Q17)</f>
        <v>116.07999999999998</v>
      </c>
      <c r="F17" s="226">
        <v>80</v>
      </c>
      <c r="G17" s="226">
        <f aca="true" t="shared" si="1" ref="G17:Q17">G16*82%</f>
        <v>3.28</v>
      </c>
      <c r="H17" s="226">
        <f t="shared" si="1"/>
        <v>3.28</v>
      </c>
      <c r="I17" s="226">
        <f t="shared" si="1"/>
        <v>3.28</v>
      </c>
      <c r="J17" s="226">
        <f t="shared" si="1"/>
        <v>4.92</v>
      </c>
      <c r="K17" s="226">
        <f t="shared" si="1"/>
        <v>4.1</v>
      </c>
      <c r="L17" s="226">
        <f t="shared" si="1"/>
        <v>3.28</v>
      </c>
      <c r="M17" s="226">
        <f t="shared" si="1"/>
        <v>3.28</v>
      </c>
      <c r="N17" s="226">
        <f t="shared" si="1"/>
        <v>2.46</v>
      </c>
      <c r="O17" s="226">
        <f t="shared" si="1"/>
        <v>2.46</v>
      </c>
      <c r="P17" s="226">
        <f t="shared" si="1"/>
        <v>3.28</v>
      </c>
      <c r="Q17" s="226">
        <f t="shared" si="1"/>
        <v>2.46</v>
      </c>
      <c r="R17" s="414">
        <f>E17/D17*100</f>
        <v>101.82456140350875</v>
      </c>
    </row>
    <row r="18" spans="1:18" ht="64.5" customHeight="1">
      <c r="A18" s="503"/>
      <c r="B18" s="559" t="s">
        <v>598</v>
      </c>
      <c r="C18" s="224" t="s">
        <v>12</v>
      </c>
      <c r="D18" s="417">
        <f>D17/122*100</f>
        <v>93.44262295081968</v>
      </c>
      <c r="E18" s="604">
        <f>E17/123*100</f>
        <v>94.37398373983739</v>
      </c>
      <c r="F18" s="417">
        <f>F17/79*100</f>
        <v>101.26582278481013</v>
      </c>
      <c r="G18" s="226">
        <f>G17/G16*100</f>
        <v>82</v>
      </c>
      <c r="H18" s="226">
        <f aca="true" t="shared" si="2" ref="H18:Q18">H17/H16*100</f>
        <v>82</v>
      </c>
      <c r="I18" s="226">
        <f t="shared" si="2"/>
        <v>82</v>
      </c>
      <c r="J18" s="226">
        <f t="shared" si="2"/>
        <v>82</v>
      </c>
      <c r="K18" s="226">
        <f t="shared" si="2"/>
        <v>82</v>
      </c>
      <c r="L18" s="226">
        <f t="shared" si="2"/>
        <v>82</v>
      </c>
      <c r="M18" s="226">
        <f t="shared" si="2"/>
        <v>82</v>
      </c>
      <c r="N18" s="226">
        <f t="shared" si="2"/>
        <v>82</v>
      </c>
      <c r="O18" s="226">
        <f t="shared" si="2"/>
        <v>82</v>
      </c>
      <c r="P18" s="226">
        <f t="shared" si="2"/>
        <v>82</v>
      </c>
      <c r="Q18" s="226">
        <f t="shared" si="2"/>
        <v>82</v>
      </c>
      <c r="R18" s="227">
        <f>E18-D18</f>
        <v>0.9313607890177025</v>
      </c>
    </row>
    <row r="19" spans="1:18" ht="33" customHeight="1">
      <c r="A19" s="225" t="s">
        <v>279</v>
      </c>
      <c r="B19" s="564" t="s">
        <v>599</v>
      </c>
      <c r="C19" s="224" t="s">
        <v>157</v>
      </c>
      <c r="D19" s="412">
        <v>1</v>
      </c>
      <c r="E19" s="226">
        <v>1</v>
      </c>
      <c r="F19" s="226"/>
      <c r="G19" s="226">
        <v>1</v>
      </c>
      <c r="H19" s="226"/>
      <c r="I19" s="226"/>
      <c r="J19" s="226"/>
      <c r="K19" s="226"/>
      <c r="L19" s="226"/>
      <c r="M19" s="226"/>
      <c r="N19" s="226"/>
      <c r="O19" s="226"/>
      <c r="P19" s="226"/>
      <c r="Q19" s="228"/>
      <c r="R19" s="228">
        <v>100</v>
      </c>
    </row>
    <row r="20" spans="1:18" ht="20.25" customHeight="1">
      <c r="A20" s="225" t="s">
        <v>649</v>
      </c>
      <c r="B20" s="564" t="s">
        <v>600</v>
      </c>
      <c r="C20" s="224" t="s">
        <v>157</v>
      </c>
      <c r="D20" s="412"/>
      <c r="E20" s="226">
        <v>1</v>
      </c>
      <c r="F20" s="226"/>
      <c r="G20" s="226">
        <v>1</v>
      </c>
      <c r="H20" s="226"/>
      <c r="I20" s="226"/>
      <c r="J20" s="226"/>
      <c r="K20" s="226"/>
      <c r="L20" s="226"/>
      <c r="M20" s="226"/>
      <c r="N20" s="226"/>
      <c r="O20" s="226"/>
      <c r="P20" s="226"/>
      <c r="Q20" s="227"/>
      <c r="R20" s="227"/>
    </row>
    <row r="21" spans="1:18" ht="18.75" customHeight="1">
      <c r="A21" s="503"/>
      <c r="B21" s="564" t="s">
        <v>601</v>
      </c>
      <c r="C21" s="224" t="s">
        <v>12</v>
      </c>
      <c r="D21" s="418"/>
      <c r="E21" s="417">
        <f>1/12*100</f>
        <v>8.333333333333332</v>
      </c>
      <c r="F21" s="417"/>
      <c r="G21" s="417">
        <f>1/12*100</f>
        <v>8.333333333333332</v>
      </c>
      <c r="H21" s="417"/>
      <c r="I21" s="417"/>
      <c r="J21" s="417"/>
      <c r="K21" s="417"/>
      <c r="L21" s="417"/>
      <c r="M21" s="417"/>
      <c r="N21" s="417"/>
      <c r="O21" s="417"/>
      <c r="P21" s="417"/>
      <c r="Q21" s="227"/>
      <c r="R21" s="227"/>
    </row>
    <row r="22" spans="1:18" ht="35.25" customHeight="1">
      <c r="A22" s="225" t="s">
        <v>650</v>
      </c>
      <c r="B22" s="559" t="s">
        <v>603</v>
      </c>
      <c r="C22" s="419" t="s">
        <v>604</v>
      </c>
      <c r="D22" s="412"/>
      <c r="E22" s="226">
        <v>1</v>
      </c>
      <c r="F22" s="226">
        <v>1</v>
      </c>
      <c r="G22" s="226"/>
      <c r="H22" s="226"/>
      <c r="I22" s="226"/>
      <c r="J22" s="226"/>
      <c r="K22" s="226"/>
      <c r="L22" s="226"/>
      <c r="M22" s="226"/>
      <c r="N22" s="226"/>
      <c r="O22" s="226"/>
      <c r="P22" s="226"/>
      <c r="Q22" s="227"/>
      <c r="R22" s="227"/>
    </row>
    <row r="23" spans="1:18" ht="27.75" customHeight="1">
      <c r="A23" s="409" t="s">
        <v>196</v>
      </c>
      <c r="B23" s="558" t="s">
        <v>253</v>
      </c>
      <c r="C23" s="410"/>
      <c r="D23" s="412"/>
      <c r="E23" s="226"/>
      <c r="F23" s="226"/>
      <c r="G23" s="226"/>
      <c r="H23" s="226"/>
      <c r="I23" s="226"/>
      <c r="J23" s="226"/>
      <c r="K23" s="226"/>
      <c r="L23" s="226"/>
      <c r="M23" s="226"/>
      <c r="N23" s="226"/>
      <c r="O23" s="226"/>
      <c r="P23" s="226"/>
      <c r="Q23" s="227"/>
      <c r="R23" s="227"/>
    </row>
    <row r="24" spans="1:18" ht="48.75" customHeight="1">
      <c r="A24" s="225" t="s">
        <v>267</v>
      </c>
      <c r="B24" s="559" t="s">
        <v>602</v>
      </c>
      <c r="C24" s="224" t="s">
        <v>605</v>
      </c>
      <c r="D24" s="412">
        <v>3</v>
      </c>
      <c r="E24" s="226">
        <v>3</v>
      </c>
      <c r="F24" s="226"/>
      <c r="G24" s="226">
        <v>1</v>
      </c>
      <c r="H24" s="226"/>
      <c r="I24" s="226"/>
      <c r="J24" s="226">
        <v>1</v>
      </c>
      <c r="K24" s="226"/>
      <c r="L24" s="226"/>
      <c r="M24" s="226"/>
      <c r="N24" s="226"/>
      <c r="O24" s="226"/>
      <c r="P24" s="226">
        <v>1</v>
      </c>
      <c r="Q24" s="228"/>
      <c r="R24" s="228">
        <v>100</v>
      </c>
    </row>
    <row r="25" spans="1:18" ht="36.75" customHeight="1">
      <c r="A25" s="225"/>
      <c r="B25" s="559" t="s">
        <v>254</v>
      </c>
      <c r="C25" s="224" t="s">
        <v>12</v>
      </c>
      <c r="D25" s="608">
        <v>25</v>
      </c>
      <c r="E25" s="608">
        <f>E24/12*100</f>
        <v>25</v>
      </c>
      <c r="F25" s="609"/>
      <c r="G25" s="608">
        <v>100</v>
      </c>
      <c r="H25" s="609"/>
      <c r="I25" s="609"/>
      <c r="J25" s="608">
        <v>100</v>
      </c>
      <c r="K25" s="609"/>
      <c r="L25" s="609"/>
      <c r="M25" s="609"/>
      <c r="N25" s="609"/>
      <c r="O25" s="609"/>
      <c r="P25" s="608">
        <v>100</v>
      </c>
      <c r="Q25" s="414"/>
      <c r="R25" s="414"/>
    </row>
    <row r="26" spans="1:18" ht="36.75" customHeight="1">
      <c r="A26" s="225" t="s">
        <v>273</v>
      </c>
      <c r="B26" s="559" t="s">
        <v>606</v>
      </c>
      <c r="C26" s="224" t="s">
        <v>607</v>
      </c>
      <c r="D26" s="608">
        <v>25</v>
      </c>
      <c r="E26" s="226">
        <f>SUM(F26:Q26)</f>
        <v>12</v>
      </c>
      <c r="F26" s="228">
        <v>1</v>
      </c>
      <c r="G26" s="228">
        <v>3</v>
      </c>
      <c r="H26" s="228"/>
      <c r="I26" s="228">
        <v>4</v>
      </c>
      <c r="J26" s="227"/>
      <c r="K26" s="227"/>
      <c r="L26" s="227"/>
      <c r="M26" s="227"/>
      <c r="N26" s="227"/>
      <c r="O26" s="227"/>
      <c r="P26" s="228">
        <v>4</v>
      </c>
      <c r="Q26" s="227"/>
      <c r="R26" s="228">
        <f>E26/D26*100</f>
        <v>48</v>
      </c>
    </row>
    <row r="27" spans="1:18" s="89" customFormat="1" ht="38.25" customHeight="1">
      <c r="A27" s="503"/>
      <c r="B27" s="563" t="s">
        <v>255</v>
      </c>
      <c r="C27" s="416" t="s">
        <v>12</v>
      </c>
      <c r="D27" s="418">
        <v>20.7</v>
      </c>
      <c r="E27" s="417">
        <f>E26/121*100</f>
        <v>9.917355371900827</v>
      </c>
      <c r="F27" s="417">
        <f>F26/18*100</f>
        <v>5.555555555555555</v>
      </c>
      <c r="G27" s="417">
        <f>G26/13*100</f>
        <v>23.076923076923077</v>
      </c>
      <c r="H27" s="226"/>
      <c r="I27" s="226">
        <f>I26/8*100</f>
        <v>50</v>
      </c>
      <c r="J27" s="226"/>
      <c r="K27" s="226"/>
      <c r="L27" s="226"/>
      <c r="M27" s="226"/>
      <c r="N27" s="226"/>
      <c r="O27" s="226"/>
      <c r="P27" s="417">
        <f>P26/11*100</f>
        <v>36.36363636363637</v>
      </c>
      <c r="Q27" s="227"/>
      <c r="R27" s="227">
        <f>E27-D27</f>
        <v>-10.782644628099172</v>
      </c>
    </row>
    <row r="28" spans="1:18" ht="47.25" customHeight="1">
      <c r="A28" s="225" t="s">
        <v>257</v>
      </c>
      <c r="B28" s="559" t="s">
        <v>256</v>
      </c>
      <c r="C28" s="224" t="s">
        <v>12</v>
      </c>
      <c r="D28" s="412">
        <v>100</v>
      </c>
      <c r="E28" s="226">
        <v>100</v>
      </c>
      <c r="F28" s="226">
        <v>100</v>
      </c>
      <c r="G28" s="226">
        <v>100</v>
      </c>
      <c r="H28" s="226">
        <v>100</v>
      </c>
      <c r="I28" s="226">
        <v>100</v>
      </c>
      <c r="J28" s="226">
        <v>100</v>
      </c>
      <c r="K28" s="226">
        <v>100</v>
      </c>
      <c r="L28" s="226">
        <v>100</v>
      </c>
      <c r="M28" s="226">
        <v>100</v>
      </c>
      <c r="N28" s="226">
        <v>100</v>
      </c>
      <c r="O28" s="226">
        <v>100</v>
      </c>
      <c r="P28" s="226">
        <v>100</v>
      </c>
      <c r="Q28" s="226">
        <v>100</v>
      </c>
      <c r="R28" s="227"/>
    </row>
    <row r="29" spans="1:18" ht="57" customHeight="1">
      <c r="A29" s="225" t="s">
        <v>258</v>
      </c>
      <c r="B29" s="559" t="s">
        <v>185</v>
      </c>
      <c r="C29" s="224" t="s">
        <v>12</v>
      </c>
      <c r="D29" s="412">
        <v>100</v>
      </c>
      <c r="E29" s="226">
        <v>100</v>
      </c>
      <c r="F29" s="226">
        <v>100</v>
      </c>
      <c r="G29" s="226">
        <v>100</v>
      </c>
      <c r="H29" s="226">
        <v>100</v>
      </c>
      <c r="I29" s="226">
        <v>100</v>
      </c>
      <c r="J29" s="226">
        <v>100</v>
      </c>
      <c r="K29" s="226">
        <v>100</v>
      </c>
      <c r="L29" s="226">
        <v>100</v>
      </c>
      <c r="M29" s="226">
        <v>100</v>
      </c>
      <c r="N29" s="226">
        <v>100</v>
      </c>
      <c r="O29" s="226">
        <v>100</v>
      </c>
      <c r="P29" s="226">
        <v>100</v>
      </c>
      <c r="Q29" s="226">
        <v>100</v>
      </c>
      <c r="R29" s="227"/>
    </row>
    <row r="30" spans="1:18" ht="33" customHeight="1">
      <c r="A30" s="407" t="s">
        <v>197</v>
      </c>
      <c r="B30" s="562" t="s">
        <v>491</v>
      </c>
      <c r="C30" s="261"/>
      <c r="D30" s="412"/>
      <c r="E30" s="226"/>
      <c r="F30" s="226"/>
      <c r="G30" s="226"/>
      <c r="H30" s="226"/>
      <c r="I30" s="226"/>
      <c r="J30" s="226"/>
      <c r="K30" s="226"/>
      <c r="L30" s="226"/>
      <c r="M30" s="226"/>
      <c r="N30" s="226"/>
      <c r="O30" s="226"/>
      <c r="P30" s="226"/>
      <c r="Q30" s="227"/>
      <c r="R30" s="227"/>
    </row>
    <row r="31" spans="1:18" ht="19.5" customHeight="1" hidden="1">
      <c r="A31" s="225"/>
      <c r="B31" s="559" t="s">
        <v>490</v>
      </c>
      <c r="C31" s="224" t="s">
        <v>319</v>
      </c>
      <c r="D31" s="412"/>
      <c r="E31" s="226"/>
      <c r="F31" s="226"/>
      <c r="G31" s="226"/>
      <c r="H31" s="226"/>
      <c r="I31" s="226"/>
      <c r="J31" s="226"/>
      <c r="K31" s="226"/>
      <c r="L31" s="226"/>
      <c r="M31" s="226"/>
      <c r="N31" s="226"/>
      <c r="O31" s="226"/>
      <c r="P31" s="226"/>
      <c r="Q31" s="228"/>
      <c r="R31" s="228"/>
    </row>
    <row r="32" spans="1:18" ht="30" customHeight="1">
      <c r="A32" s="225" t="s">
        <v>267</v>
      </c>
      <c r="B32" s="559" t="s">
        <v>651</v>
      </c>
      <c r="C32" s="224" t="s">
        <v>488</v>
      </c>
      <c r="D32" s="412"/>
      <c r="E32" s="226">
        <v>1</v>
      </c>
      <c r="F32" s="226">
        <v>1</v>
      </c>
      <c r="G32" s="226"/>
      <c r="H32" s="226"/>
      <c r="I32" s="226"/>
      <c r="J32" s="226"/>
      <c r="K32" s="226"/>
      <c r="L32" s="226"/>
      <c r="M32" s="226"/>
      <c r="N32" s="226"/>
      <c r="O32" s="226"/>
      <c r="P32" s="226"/>
      <c r="Q32" s="228"/>
      <c r="R32" s="228"/>
    </row>
    <row r="33" spans="1:18" ht="34.5" customHeight="1">
      <c r="A33" s="225" t="s">
        <v>273</v>
      </c>
      <c r="B33" s="559" t="s">
        <v>614</v>
      </c>
      <c r="C33" s="224" t="s">
        <v>319</v>
      </c>
      <c r="D33" s="412">
        <v>1</v>
      </c>
      <c r="E33" s="226">
        <v>1</v>
      </c>
      <c r="F33" s="226">
        <v>1</v>
      </c>
      <c r="G33" s="226"/>
      <c r="H33" s="226"/>
      <c r="I33" s="226"/>
      <c r="J33" s="226"/>
      <c r="K33" s="226"/>
      <c r="L33" s="226"/>
      <c r="M33" s="226"/>
      <c r="N33" s="226"/>
      <c r="O33" s="226"/>
      <c r="P33" s="226"/>
      <c r="Q33" s="228"/>
      <c r="R33" s="228">
        <v>100</v>
      </c>
    </row>
    <row r="34" spans="1:18" ht="30.75" customHeight="1">
      <c r="A34" s="503"/>
      <c r="B34" s="559" t="s">
        <v>359</v>
      </c>
      <c r="C34" s="224" t="s">
        <v>604</v>
      </c>
      <c r="D34" s="412">
        <v>12</v>
      </c>
      <c r="E34" s="226">
        <v>12</v>
      </c>
      <c r="F34" s="226">
        <v>1</v>
      </c>
      <c r="G34" s="226">
        <v>1</v>
      </c>
      <c r="H34" s="226">
        <v>1</v>
      </c>
      <c r="I34" s="226">
        <v>1</v>
      </c>
      <c r="J34" s="226">
        <v>1</v>
      </c>
      <c r="K34" s="226">
        <v>1</v>
      </c>
      <c r="L34" s="226">
        <v>1</v>
      </c>
      <c r="M34" s="226">
        <v>1</v>
      </c>
      <c r="N34" s="226">
        <v>1</v>
      </c>
      <c r="O34" s="226">
        <v>1</v>
      </c>
      <c r="P34" s="226">
        <v>1</v>
      </c>
      <c r="Q34" s="228">
        <v>1</v>
      </c>
      <c r="R34" s="228">
        <v>100</v>
      </c>
    </row>
    <row r="35" spans="1:18" ht="19.5" customHeight="1">
      <c r="A35" s="225" t="s">
        <v>257</v>
      </c>
      <c r="B35" s="559" t="s">
        <v>608</v>
      </c>
      <c r="C35" s="224" t="s">
        <v>157</v>
      </c>
      <c r="D35" s="412">
        <v>9</v>
      </c>
      <c r="E35" s="226">
        <f>SUM(F35:Q35)</f>
        <v>10</v>
      </c>
      <c r="F35" s="226"/>
      <c r="G35" s="226">
        <v>1</v>
      </c>
      <c r="H35" s="226">
        <v>1</v>
      </c>
      <c r="I35" s="226">
        <v>1</v>
      </c>
      <c r="J35" s="226">
        <v>1</v>
      </c>
      <c r="K35" s="226">
        <v>1</v>
      </c>
      <c r="L35" s="226">
        <v>1</v>
      </c>
      <c r="M35" s="226">
        <v>1</v>
      </c>
      <c r="N35" s="226">
        <v>1</v>
      </c>
      <c r="O35" s="226">
        <v>1</v>
      </c>
      <c r="P35" s="226">
        <v>1</v>
      </c>
      <c r="Q35" s="228"/>
      <c r="R35" s="414">
        <f>E35/D35*100</f>
        <v>111.11111111111111</v>
      </c>
    </row>
    <row r="36" spans="1:18" ht="38.25" customHeight="1">
      <c r="A36" s="503"/>
      <c r="B36" s="559" t="s">
        <v>609</v>
      </c>
      <c r="C36" s="224" t="s">
        <v>12</v>
      </c>
      <c r="D36" s="412">
        <f>D35/12*100</f>
        <v>75</v>
      </c>
      <c r="E36" s="228">
        <f>E35/E34*100</f>
        <v>83.33333333333334</v>
      </c>
      <c r="F36" s="228"/>
      <c r="G36" s="228">
        <v>100</v>
      </c>
      <c r="H36" s="228">
        <v>100</v>
      </c>
      <c r="I36" s="228">
        <v>100</v>
      </c>
      <c r="J36" s="228">
        <v>100</v>
      </c>
      <c r="K36" s="228">
        <v>100</v>
      </c>
      <c r="L36" s="228">
        <v>100</v>
      </c>
      <c r="M36" s="228">
        <v>100</v>
      </c>
      <c r="N36" s="228">
        <v>100</v>
      </c>
      <c r="O36" s="228">
        <v>100</v>
      </c>
      <c r="P36" s="228">
        <v>100</v>
      </c>
      <c r="Q36" s="227"/>
      <c r="R36" s="414">
        <f>E36-D36</f>
        <v>8.333333333333343</v>
      </c>
    </row>
    <row r="37" spans="1:18" ht="36" customHeight="1">
      <c r="A37" s="225" t="s">
        <v>258</v>
      </c>
      <c r="B37" s="559" t="s">
        <v>492</v>
      </c>
      <c r="C37" s="224" t="s">
        <v>157</v>
      </c>
      <c r="D37" s="412">
        <v>12</v>
      </c>
      <c r="E37" s="226">
        <v>12</v>
      </c>
      <c r="F37" s="226">
        <v>12</v>
      </c>
      <c r="G37" s="226">
        <v>12</v>
      </c>
      <c r="H37" s="226">
        <v>12</v>
      </c>
      <c r="I37" s="226">
        <v>12</v>
      </c>
      <c r="J37" s="226">
        <v>12</v>
      </c>
      <c r="K37" s="226">
        <v>12</v>
      </c>
      <c r="L37" s="226">
        <v>12</v>
      </c>
      <c r="M37" s="226">
        <v>12</v>
      </c>
      <c r="N37" s="226">
        <v>12</v>
      </c>
      <c r="O37" s="226">
        <v>12</v>
      </c>
      <c r="P37" s="226">
        <v>12</v>
      </c>
      <c r="Q37" s="226">
        <v>12</v>
      </c>
      <c r="R37" s="228">
        <v>100</v>
      </c>
    </row>
    <row r="38" spans="1:18" ht="28.5" customHeight="1">
      <c r="A38" s="503"/>
      <c r="B38" s="559" t="s">
        <v>289</v>
      </c>
      <c r="C38" s="224" t="s">
        <v>12</v>
      </c>
      <c r="D38" s="412">
        <v>100</v>
      </c>
      <c r="E38" s="415">
        <v>100</v>
      </c>
      <c r="F38" s="415">
        <v>100</v>
      </c>
      <c r="G38" s="415">
        <v>100</v>
      </c>
      <c r="H38" s="415">
        <v>100</v>
      </c>
      <c r="I38" s="415">
        <v>100</v>
      </c>
      <c r="J38" s="415">
        <v>100</v>
      </c>
      <c r="K38" s="415">
        <v>100</v>
      </c>
      <c r="L38" s="415">
        <v>100</v>
      </c>
      <c r="M38" s="415">
        <v>100</v>
      </c>
      <c r="N38" s="415">
        <v>100</v>
      </c>
      <c r="O38" s="415">
        <v>100</v>
      </c>
      <c r="P38" s="415">
        <v>100</v>
      </c>
      <c r="Q38" s="415">
        <v>100</v>
      </c>
      <c r="R38" s="227"/>
    </row>
    <row r="39" spans="1:18" ht="19.5" customHeight="1">
      <c r="A39" s="225" t="s">
        <v>647</v>
      </c>
      <c r="B39" s="559" t="s">
        <v>493</v>
      </c>
      <c r="C39" s="224" t="s">
        <v>157</v>
      </c>
      <c r="D39" s="412">
        <v>1</v>
      </c>
      <c r="E39" s="226">
        <v>3</v>
      </c>
      <c r="F39" s="226">
        <v>1</v>
      </c>
      <c r="G39" s="226">
        <v>1</v>
      </c>
      <c r="H39" s="226"/>
      <c r="I39" s="226"/>
      <c r="J39" s="226"/>
      <c r="K39" s="226"/>
      <c r="L39" s="226"/>
      <c r="M39" s="226"/>
      <c r="N39" s="226"/>
      <c r="O39" s="226">
        <v>1</v>
      </c>
      <c r="P39" s="226"/>
      <c r="Q39" s="228"/>
      <c r="R39" s="228">
        <f>E39/D39*100</f>
        <v>300</v>
      </c>
    </row>
    <row r="40" spans="1:18" ht="36.75" customHeight="1">
      <c r="A40" s="503"/>
      <c r="B40" s="559" t="s">
        <v>290</v>
      </c>
      <c r="C40" s="224" t="s">
        <v>12</v>
      </c>
      <c r="D40" s="418">
        <f>D39/12*100</f>
        <v>8.333333333333332</v>
      </c>
      <c r="E40" s="412">
        <f>E39/12*100</f>
        <v>25</v>
      </c>
      <c r="F40" s="412">
        <v>100</v>
      </c>
      <c r="G40" s="412">
        <v>100</v>
      </c>
      <c r="H40" s="412"/>
      <c r="I40" s="412"/>
      <c r="J40" s="412"/>
      <c r="K40" s="412"/>
      <c r="L40" s="412"/>
      <c r="M40" s="412"/>
      <c r="N40" s="412"/>
      <c r="O40" s="412">
        <v>100</v>
      </c>
      <c r="P40" s="412"/>
      <c r="Q40" s="227"/>
      <c r="R40" s="414">
        <f>E40-D40</f>
        <v>16.666666666666668</v>
      </c>
    </row>
    <row r="41" spans="1:18" ht="33" customHeight="1">
      <c r="A41" s="225" t="s">
        <v>278</v>
      </c>
      <c r="B41" s="559" t="s">
        <v>610</v>
      </c>
      <c r="C41" s="224" t="s">
        <v>320</v>
      </c>
      <c r="D41" s="412">
        <v>62</v>
      </c>
      <c r="E41" s="226">
        <f>SUM(F41:Q41)</f>
        <v>64</v>
      </c>
      <c r="F41" s="226">
        <v>8</v>
      </c>
      <c r="G41" s="226">
        <v>10</v>
      </c>
      <c r="H41" s="226">
        <v>9</v>
      </c>
      <c r="I41" s="226">
        <v>5</v>
      </c>
      <c r="J41" s="226">
        <v>5</v>
      </c>
      <c r="K41" s="226">
        <v>11</v>
      </c>
      <c r="L41" s="226">
        <v>1</v>
      </c>
      <c r="M41" s="226">
        <v>3</v>
      </c>
      <c r="N41" s="226">
        <v>1</v>
      </c>
      <c r="O41" s="226">
        <v>5</v>
      </c>
      <c r="P41" s="226">
        <v>1</v>
      </c>
      <c r="Q41" s="228">
        <v>5</v>
      </c>
      <c r="R41" s="414">
        <f>E41/D41*100</f>
        <v>103.2258064516129</v>
      </c>
    </row>
    <row r="42" spans="1:18" ht="31.5" customHeight="1">
      <c r="A42" s="503"/>
      <c r="B42" s="559" t="s">
        <v>611</v>
      </c>
      <c r="C42" s="224" t="s">
        <v>12</v>
      </c>
      <c r="D42" s="414">
        <f>D41/121*100</f>
        <v>51.2396694214876</v>
      </c>
      <c r="E42" s="414">
        <f>E41/121*100</f>
        <v>52.892561983471076</v>
      </c>
      <c r="F42" s="227">
        <f>F41/18*100</f>
        <v>44.44444444444444</v>
      </c>
      <c r="G42" s="227">
        <f>G41/13*100</f>
        <v>76.92307692307693</v>
      </c>
      <c r="H42" s="228">
        <f>H41/12*100</f>
        <v>75</v>
      </c>
      <c r="I42" s="227">
        <f>I41/8*100</f>
        <v>62.5</v>
      </c>
      <c r="J42" s="227">
        <f>J41/9*100</f>
        <v>55.55555555555556</v>
      </c>
      <c r="K42" s="227">
        <f>K41/13*100</f>
        <v>84.61538461538461</v>
      </c>
      <c r="L42" s="227">
        <f>L41/8*100</f>
        <v>12.5</v>
      </c>
      <c r="M42" s="227">
        <f>M41/9*100</f>
        <v>33.33333333333333</v>
      </c>
      <c r="N42" s="227">
        <f>N41/6*100</f>
        <v>16.666666666666664</v>
      </c>
      <c r="O42" s="227">
        <f>O41/7*100</f>
        <v>71.42857142857143</v>
      </c>
      <c r="P42" s="227">
        <f>P41/11*100</f>
        <v>9.090909090909092</v>
      </c>
      <c r="Q42" s="227">
        <f>Q41/7*100</f>
        <v>71.42857142857143</v>
      </c>
      <c r="R42" s="414">
        <f>E42-D42</f>
        <v>1.652892561983478</v>
      </c>
    </row>
    <row r="43" spans="1:18" ht="33" customHeight="1">
      <c r="A43" s="225" t="s">
        <v>648</v>
      </c>
      <c r="B43" s="559" t="s">
        <v>494</v>
      </c>
      <c r="C43" s="224" t="s">
        <v>320</v>
      </c>
      <c r="D43" s="228">
        <v>24</v>
      </c>
      <c r="E43" s="226">
        <f>SUM(F43:Q43)</f>
        <v>24</v>
      </c>
      <c r="F43" s="228">
        <v>2</v>
      </c>
      <c r="G43" s="228">
        <v>2</v>
      </c>
      <c r="H43" s="228">
        <v>2</v>
      </c>
      <c r="I43" s="228">
        <v>2</v>
      </c>
      <c r="J43" s="228">
        <v>2</v>
      </c>
      <c r="K43" s="228">
        <v>2</v>
      </c>
      <c r="L43" s="228">
        <v>2</v>
      </c>
      <c r="M43" s="228">
        <v>2</v>
      </c>
      <c r="N43" s="228">
        <v>2</v>
      </c>
      <c r="O43" s="228">
        <v>2</v>
      </c>
      <c r="P43" s="228">
        <v>2</v>
      </c>
      <c r="Q43" s="228">
        <v>2</v>
      </c>
      <c r="R43" s="228">
        <v>100</v>
      </c>
    </row>
    <row r="44" spans="1:18" s="89" customFormat="1" ht="19.5" customHeight="1">
      <c r="A44" s="503"/>
      <c r="B44" s="563" t="s">
        <v>291</v>
      </c>
      <c r="C44" s="416" t="s">
        <v>12</v>
      </c>
      <c r="D44" s="418">
        <f>D43/121*100</f>
        <v>19.834710743801654</v>
      </c>
      <c r="E44" s="417">
        <f>E43/121*100</f>
        <v>19.834710743801654</v>
      </c>
      <c r="F44" s="227">
        <f>F43/18*100</f>
        <v>11.11111111111111</v>
      </c>
      <c r="G44" s="227">
        <f>G43/13*100</f>
        <v>15.384615384615385</v>
      </c>
      <c r="H44" s="228">
        <f>H43/12*100</f>
        <v>16.666666666666664</v>
      </c>
      <c r="I44" s="227">
        <f>I43/8*100</f>
        <v>25</v>
      </c>
      <c r="J44" s="227">
        <f>J43/9*100</f>
        <v>22.22222222222222</v>
      </c>
      <c r="K44" s="227">
        <f>K43/13*100</f>
        <v>15.384615384615385</v>
      </c>
      <c r="L44" s="227">
        <f>L43/8*100</f>
        <v>25</v>
      </c>
      <c r="M44" s="227">
        <f>M43/9*100</f>
        <v>22.22222222222222</v>
      </c>
      <c r="N44" s="227">
        <f>N43/6*100</f>
        <v>33.33333333333333</v>
      </c>
      <c r="O44" s="227">
        <f>O43/7*100</f>
        <v>28.57142857142857</v>
      </c>
      <c r="P44" s="227">
        <f>P43/11*100</f>
        <v>18.181818181818183</v>
      </c>
      <c r="Q44" s="227">
        <f>Q43/7*100</f>
        <v>28.57142857142857</v>
      </c>
      <c r="R44" s="227"/>
    </row>
    <row r="45" spans="1:18" ht="19.5" customHeight="1">
      <c r="A45" s="407" t="s">
        <v>198</v>
      </c>
      <c r="B45" s="562" t="s">
        <v>259</v>
      </c>
      <c r="C45" s="261"/>
      <c r="D45" s="412"/>
      <c r="E45" s="226"/>
      <c r="F45" s="226"/>
      <c r="G45" s="226"/>
      <c r="H45" s="226"/>
      <c r="I45" s="226"/>
      <c r="J45" s="226"/>
      <c r="K45" s="226"/>
      <c r="L45" s="226"/>
      <c r="M45" s="226"/>
      <c r="N45" s="226"/>
      <c r="O45" s="226"/>
      <c r="P45" s="226"/>
      <c r="Q45" s="227"/>
      <c r="R45" s="227"/>
    </row>
    <row r="46" spans="1:18" ht="24.75" customHeight="1" hidden="1">
      <c r="A46" s="225"/>
      <c r="B46" s="559" t="s">
        <v>260</v>
      </c>
      <c r="C46" s="224" t="s">
        <v>179</v>
      </c>
      <c r="D46" s="412"/>
      <c r="E46" s="226"/>
      <c r="F46" s="226"/>
      <c r="G46" s="226"/>
      <c r="H46" s="226"/>
      <c r="I46" s="226"/>
      <c r="J46" s="226"/>
      <c r="K46" s="226"/>
      <c r="L46" s="226"/>
      <c r="M46" s="226"/>
      <c r="N46" s="226"/>
      <c r="O46" s="226"/>
      <c r="P46" s="226"/>
      <c r="Q46" s="227"/>
      <c r="R46" s="227"/>
    </row>
    <row r="47" spans="1:18" ht="36.75" customHeight="1" hidden="1">
      <c r="A47" s="225"/>
      <c r="B47" s="559" t="s">
        <v>261</v>
      </c>
      <c r="C47" s="224" t="s">
        <v>179</v>
      </c>
      <c r="D47" s="412"/>
      <c r="E47" s="226"/>
      <c r="F47" s="226"/>
      <c r="G47" s="226"/>
      <c r="H47" s="226"/>
      <c r="I47" s="226"/>
      <c r="J47" s="226"/>
      <c r="K47" s="226"/>
      <c r="L47" s="226"/>
      <c r="M47" s="226"/>
      <c r="N47" s="226"/>
      <c r="O47" s="226"/>
      <c r="P47" s="226"/>
      <c r="Q47" s="227"/>
      <c r="R47" s="227"/>
    </row>
    <row r="48" spans="1:18" ht="35.25" customHeight="1" hidden="1">
      <c r="A48" s="225"/>
      <c r="B48" s="559" t="s">
        <v>262</v>
      </c>
      <c r="C48" s="224" t="s">
        <v>179</v>
      </c>
      <c r="D48" s="412"/>
      <c r="E48" s="226"/>
      <c r="F48" s="226"/>
      <c r="G48" s="226"/>
      <c r="H48" s="226"/>
      <c r="I48" s="226"/>
      <c r="J48" s="226"/>
      <c r="K48" s="226"/>
      <c r="L48" s="226"/>
      <c r="M48" s="226"/>
      <c r="N48" s="226"/>
      <c r="O48" s="226"/>
      <c r="P48" s="226"/>
      <c r="Q48" s="227"/>
      <c r="R48" s="227"/>
    </row>
    <row r="49" spans="1:18" ht="31.5" customHeight="1">
      <c r="A49" s="225" t="s">
        <v>267</v>
      </c>
      <c r="B49" s="559" t="s">
        <v>495</v>
      </c>
      <c r="C49" s="224" t="s">
        <v>496</v>
      </c>
      <c r="D49" s="412">
        <v>5530</v>
      </c>
      <c r="E49" s="226">
        <v>14150</v>
      </c>
      <c r="F49" s="226"/>
      <c r="G49" s="226"/>
      <c r="H49" s="226"/>
      <c r="I49" s="226"/>
      <c r="J49" s="226"/>
      <c r="K49" s="226"/>
      <c r="L49" s="226"/>
      <c r="M49" s="226"/>
      <c r="N49" s="226"/>
      <c r="O49" s="226"/>
      <c r="P49" s="226"/>
      <c r="Q49" s="227"/>
      <c r="R49" s="414">
        <f>E49/D49*100</f>
        <v>255.87703435804704</v>
      </c>
    </row>
    <row r="50" spans="1:18" ht="31.5" customHeight="1">
      <c r="A50" s="503"/>
      <c r="B50" s="565" t="s">
        <v>497</v>
      </c>
      <c r="C50" s="224" t="s">
        <v>496</v>
      </c>
      <c r="D50" s="412"/>
      <c r="E50" s="226">
        <v>85</v>
      </c>
      <c r="F50" s="226"/>
      <c r="G50" s="226"/>
      <c r="H50" s="226"/>
      <c r="I50" s="226"/>
      <c r="J50" s="226"/>
      <c r="K50" s="226"/>
      <c r="L50" s="226"/>
      <c r="M50" s="226"/>
      <c r="N50" s="226"/>
      <c r="O50" s="226"/>
      <c r="P50" s="226"/>
      <c r="Q50" s="227"/>
      <c r="R50" s="228"/>
    </row>
    <row r="51" spans="1:18" ht="19.5" customHeight="1">
      <c r="A51" s="225" t="s">
        <v>273</v>
      </c>
      <c r="B51" s="559" t="s">
        <v>263</v>
      </c>
      <c r="C51" s="224" t="s">
        <v>179</v>
      </c>
      <c r="D51" s="412"/>
      <c r="E51" s="226"/>
      <c r="F51" s="226"/>
      <c r="G51" s="226"/>
      <c r="H51" s="226"/>
      <c r="I51" s="226"/>
      <c r="J51" s="226"/>
      <c r="K51" s="226"/>
      <c r="L51" s="226"/>
      <c r="M51" s="226"/>
      <c r="N51" s="226"/>
      <c r="O51" s="226"/>
      <c r="P51" s="226"/>
      <c r="Q51" s="227"/>
      <c r="R51" s="227"/>
    </row>
    <row r="52" spans="1:18" ht="33.75" customHeight="1">
      <c r="A52" s="503" t="s">
        <v>388</v>
      </c>
      <c r="B52" s="559" t="s">
        <v>264</v>
      </c>
      <c r="C52" s="224" t="s">
        <v>179</v>
      </c>
      <c r="D52" s="412">
        <v>6</v>
      </c>
      <c r="E52" s="415">
        <v>6</v>
      </c>
      <c r="F52" s="415"/>
      <c r="G52" s="415"/>
      <c r="H52" s="415"/>
      <c r="I52" s="415"/>
      <c r="J52" s="415"/>
      <c r="K52" s="415"/>
      <c r="L52" s="415"/>
      <c r="M52" s="415"/>
      <c r="N52" s="415"/>
      <c r="O52" s="415"/>
      <c r="P52" s="415"/>
      <c r="Q52" s="228"/>
      <c r="R52" s="228">
        <v>100</v>
      </c>
    </row>
    <row r="53" spans="1:18" ht="35.25" customHeight="1">
      <c r="A53" s="503" t="s">
        <v>388</v>
      </c>
      <c r="B53" s="559" t="s">
        <v>265</v>
      </c>
      <c r="C53" s="224" t="s">
        <v>179</v>
      </c>
      <c r="D53" s="412"/>
      <c r="E53" s="415">
        <v>2</v>
      </c>
      <c r="F53" s="415"/>
      <c r="G53" s="415"/>
      <c r="H53" s="415"/>
      <c r="I53" s="415">
        <v>1</v>
      </c>
      <c r="J53" s="415"/>
      <c r="K53" s="415"/>
      <c r="L53" s="415"/>
      <c r="M53" s="415"/>
      <c r="N53" s="415"/>
      <c r="O53" s="415"/>
      <c r="P53" s="415"/>
      <c r="Q53" s="228">
        <v>1</v>
      </c>
      <c r="R53" s="228"/>
    </row>
    <row r="54" spans="1:18" ht="32.25" customHeight="1">
      <c r="A54" s="503" t="s">
        <v>388</v>
      </c>
      <c r="B54" s="559" t="s">
        <v>663</v>
      </c>
      <c r="C54" s="224" t="s">
        <v>266</v>
      </c>
      <c r="D54" s="412">
        <v>1</v>
      </c>
      <c r="E54" s="226">
        <v>3</v>
      </c>
      <c r="F54" s="226"/>
      <c r="G54" s="226"/>
      <c r="H54" s="226"/>
      <c r="I54" s="226"/>
      <c r="J54" s="226"/>
      <c r="K54" s="226"/>
      <c r="L54" s="226"/>
      <c r="M54" s="226"/>
      <c r="N54" s="226"/>
      <c r="O54" s="226"/>
      <c r="P54" s="226"/>
      <c r="Q54" s="228"/>
      <c r="R54" s="228">
        <v>300</v>
      </c>
    </row>
    <row r="55" spans="1:18" ht="19.5" customHeight="1">
      <c r="A55" s="407" t="s">
        <v>3</v>
      </c>
      <c r="B55" s="562" t="s">
        <v>268</v>
      </c>
      <c r="C55" s="224"/>
      <c r="D55" s="412"/>
      <c r="E55" s="226"/>
      <c r="F55" s="226"/>
      <c r="G55" s="226"/>
      <c r="H55" s="226"/>
      <c r="I55" s="226"/>
      <c r="J55" s="226"/>
      <c r="K55" s="226"/>
      <c r="L55" s="226"/>
      <c r="M55" s="226"/>
      <c r="N55" s="226"/>
      <c r="O55" s="226"/>
      <c r="P55" s="226"/>
      <c r="Q55" s="227"/>
      <c r="R55" s="227"/>
    </row>
    <row r="56" spans="1:18" ht="19.5" customHeight="1">
      <c r="A56" s="409" t="s">
        <v>191</v>
      </c>
      <c r="B56" s="558" t="s">
        <v>181</v>
      </c>
      <c r="C56" s="421"/>
      <c r="D56" s="412"/>
      <c r="E56" s="226"/>
      <c r="F56" s="226"/>
      <c r="G56" s="226"/>
      <c r="H56" s="226"/>
      <c r="I56" s="226"/>
      <c r="J56" s="226"/>
      <c r="K56" s="226"/>
      <c r="L56" s="226"/>
      <c r="M56" s="226"/>
      <c r="N56" s="226"/>
      <c r="O56" s="226"/>
      <c r="P56" s="226"/>
      <c r="Q56" s="227"/>
      <c r="R56" s="227"/>
    </row>
    <row r="57" spans="1:18" ht="36.75" customHeight="1">
      <c r="A57" s="502" t="s">
        <v>267</v>
      </c>
      <c r="B57" s="559" t="s">
        <v>664</v>
      </c>
      <c r="C57" s="224" t="s">
        <v>162</v>
      </c>
      <c r="D57" s="412">
        <v>14530</v>
      </c>
      <c r="E57" s="226">
        <f>SUM(F57:Q57)</f>
        <v>16138</v>
      </c>
      <c r="F57" s="412">
        <v>4527</v>
      </c>
      <c r="G57" s="412">
        <v>1357</v>
      </c>
      <c r="H57" s="412">
        <v>1771</v>
      </c>
      <c r="I57" s="412">
        <v>994</v>
      </c>
      <c r="J57" s="412">
        <v>1390</v>
      </c>
      <c r="K57" s="412">
        <v>1313</v>
      </c>
      <c r="L57" s="412">
        <v>687</v>
      </c>
      <c r="M57" s="412">
        <v>938</v>
      </c>
      <c r="N57" s="412">
        <v>649</v>
      </c>
      <c r="O57" s="412">
        <v>1024</v>
      </c>
      <c r="P57" s="412">
        <v>939</v>
      </c>
      <c r="Q57" s="412">
        <v>549</v>
      </c>
      <c r="R57" s="414">
        <f>E57/D57*100</f>
        <v>111.06675843083276</v>
      </c>
    </row>
    <row r="58" spans="1:18" ht="48.75" customHeight="1">
      <c r="A58" s="422"/>
      <c r="B58" s="559" t="s">
        <v>280</v>
      </c>
      <c r="C58" s="224" t="s">
        <v>12</v>
      </c>
      <c r="D58" s="418">
        <v>24.6</v>
      </c>
      <c r="E58" s="413">
        <f>E57/55739*100</f>
        <v>28.952797861461455</v>
      </c>
      <c r="F58" s="413">
        <f>F57/' Bieu 3 LDVT'!F9*100</f>
        <v>53.015575594331885</v>
      </c>
      <c r="G58" s="413">
        <f>G57/' Bieu 3 LDVT'!G9*100</f>
        <v>23.790322580645164</v>
      </c>
      <c r="H58" s="413">
        <f>H57/' Bieu 3 LDVT'!H9*100</f>
        <v>24.831744251261917</v>
      </c>
      <c r="I58" s="413">
        <f>I57/' Bieu 3 LDVT'!I9*100</f>
        <v>24.843789052736817</v>
      </c>
      <c r="J58" s="413">
        <f>J57/' Bieu 3 LDVT'!J9*100</f>
        <v>24.8302965344766</v>
      </c>
      <c r="K58" s="413">
        <f>K57/' Bieu 3 LDVT'!K9*100</f>
        <v>19.87587042082955</v>
      </c>
      <c r="L58" s="413">
        <f>L57/' Bieu 3 LDVT'!L9*100</f>
        <v>19.895742832319723</v>
      </c>
      <c r="M58" s="413">
        <f>M57/' Bieu 3 LDVT'!M9*100</f>
        <v>24.814814814814813</v>
      </c>
      <c r="N58" s="413">
        <f>N57/' Bieu 3 LDVT'!N9*100</f>
        <v>24.894514767932492</v>
      </c>
      <c r="O58" s="413">
        <f>O57/' Bieu 3 LDVT'!O9*100</f>
        <v>24.78218780251694</v>
      </c>
      <c r="P58" s="413">
        <f>P57/' Bieu 3 LDVT'!P9*100</f>
        <v>18.466076696165192</v>
      </c>
      <c r="Q58" s="413">
        <f>Q57/' Bieu 3 LDVT'!Q9*100</f>
        <v>19.819494584837546</v>
      </c>
      <c r="R58" s="227">
        <f>E58-D58</f>
        <v>4.352797861461454</v>
      </c>
    </row>
    <row r="59" spans="1:18" ht="41.25" customHeight="1">
      <c r="A59" s="502" t="s">
        <v>273</v>
      </c>
      <c r="B59" s="559" t="s">
        <v>269</v>
      </c>
      <c r="C59" s="224" t="s">
        <v>270</v>
      </c>
      <c r="D59" s="412">
        <v>1650</v>
      </c>
      <c r="E59" s="226">
        <f>SUM(F59:Q59)</f>
        <v>1659.2899999999997</v>
      </c>
      <c r="F59" s="226">
        <f>' Bieu 3 LDVT'!F55*36%</f>
        <v>763.1999999999999</v>
      </c>
      <c r="G59" s="226">
        <f>' Bieu 3 LDVT'!G55*15%</f>
        <v>152.25</v>
      </c>
      <c r="H59" s="226">
        <f>' Bieu 3 LDVT'!H55*8%</f>
        <v>114.56</v>
      </c>
      <c r="I59" s="226">
        <f>' Bieu 3 LDVT'!I55*10%</f>
        <v>79.60000000000001</v>
      </c>
      <c r="J59" s="226">
        <f>' Bieu 3 LDVT'!J55*12%</f>
        <v>126.83999999999999</v>
      </c>
      <c r="K59" s="226">
        <f>' Bieu 3 LDVT'!K55*7%</f>
        <v>88.83000000000001</v>
      </c>
      <c r="L59" s="226">
        <f>' Bieu 3 LDVT'!L55*5%</f>
        <v>31.75</v>
      </c>
      <c r="M59" s="226">
        <f>' Bieu 3 LDVT'!M55*9%</f>
        <v>68.03999999999999</v>
      </c>
      <c r="N59" s="226">
        <f>' Bieu 3 LDVT'!N55*5%</f>
        <v>24.05</v>
      </c>
      <c r="O59" s="226">
        <f>' Bieu 3 LDVT'!O55*14%</f>
        <v>99.26</v>
      </c>
      <c r="P59" s="226">
        <f>' Bieu 3 LDVT'!P55*9%</f>
        <v>79.47</v>
      </c>
      <c r="Q59" s="226">
        <f>' Bieu 3 LDVT'!Q55*6%</f>
        <v>31.439999999999998</v>
      </c>
      <c r="R59" s="414">
        <f>E59/D59*100</f>
        <v>100.56303030303029</v>
      </c>
    </row>
    <row r="60" spans="1:18" ht="54" customHeight="1">
      <c r="A60" s="422"/>
      <c r="B60" s="559" t="s">
        <v>292</v>
      </c>
      <c r="C60" s="224" t="s">
        <v>12</v>
      </c>
      <c r="D60" s="603">
        <v>14.27</v>
      </c>
      <c r="E60" s="610">
        <f>E59/' Bieu 3 LDVT'!E55*100</f>
        <v>14.209899803031597</v>
      </c>
      <c r="F60" s="420">
        <f>F59/' Bieu 3 LDVT'!F55*100</f>
        <v>36</v>
      </c>
      <c r="G60" s="420">
        <f>G59/' Bieu 3 LDVT'!G55*100</f>
        <v>15</v>
      </c>
      <c r="H60" s="420">
        <f>H59/' Bieu 3 LDVT'!H55*100</f>
        <v>8</v>
      </c>
      <c r="I60" s="420">
        <f>I59/' Bieu 3 LDVT'!I55*100</f>
        <v>10</v>
      </c>
      <c r="J60" s="420">
        <f>J59/' Bieu 3 LDVT'!J55*100</f>
        <v>12</v>
      </c>
      <c r="K60" s="420">
        <f>K59/' Bieu 3 LDVT'!K55*100</f>
        <v>7.000000000000001</v>
      </c>
      <c r="L60" s="420">
        <f>L59/' Bieu 3 LDVT'!L55*100</f>
        <v>5</v>
      </c>
      <c r="M60" s="420">
        <f>M59/' Bieu 3 LDVT'!M55*100</f>
        <v>8.999999999999998</v>
      </c>
      <c r="N60" s="420">
        <f>N59/' Bieu 3 LDVT'!N55*100</f>
        <v>5</v>
      </c>
      <c r="O60" s="420">
        <f>O59/' Bieu 3 LDVT'!O55*100</f>
        <v>14.000000000000002</v>
      </c>
      <c r="P60" s="420">
        <f>P59/' Bieu 3 LDVT'!P55*100</f>
        <v>9</v>
      </c>
      <c r="Q60" s="420">
        <f>Q59/' Bieu 3 LDVT'!Q55*100</f>
        <v>6</v>
      </c>
      <c r="R60" s="568">
        <f>E60-D60</f>
        <v>-0.06010019696840274</v>
      </c>
    </row>
    <row r="61" spans="1:18" ht="33" customHeight="1">
      <c r="A61" s="422" t="s">
        <v>388</v>
      </c>
      <c r="B61" s="559" t="s">
        <v>271</v>
      </c>
      <c r="C61" s="224" t="s">
        <v>612</v>
      </c>
      <c r="D61" s="412">
        <v>29</v>
      </c>
      <c r="E61" s="226">
        <f>SUM(F61:Q61)</f>
        <v>31</v>
      </c>
      <c r="F61" s="228">
        <v>20</v>
      </c>
      <c r="G61" s="228">
        <v>1</v>
      </c>
      <c r="H61" s="228">
        <v>1</v>
      </c>
      <c r="I61" s="228">
        <v>1</v>
      </c>
      <c r="J61" s="228">
        <v>1</v>
      </c>
      <c r="K61" s="228">
        <v>1</v>
      </c>
      <c r="L61" s="228">
        <v>1</v>
      </c>
      <c r="M61" s="228">
        <v>1</v>
      </c>
      <c r="N61" s="228">
        <v>1</v>
      </c>
      <c r="O61" s="228">
        <v>1</v>
      </c>
      <c r="P61" s="228">
        <v>1</v>
      </c>
      <c r="Q61" s="228">
        <v>1</v>
      </c>
      <c r="R61" s="227">
        <f>E61/D61*100</f>
        <v>106.89655172413792</v>
      </c>
    </row>
    <row r="62" spans="1:18" ht="19.5" customHeight="1">
      <c r="A62" s="409" t="s">
        <v>196</v>
      </c>
      <c r="B62" s="558" t="s">
        <v>182</v>
      </c>
      <c r="C62" s="224"/>
      <c r="D62" s="412"/>
      <c r="E62" s="226"/>
      <c r="F62" s="226"/>
      <c r="G62" s="226"/>
      <c r="H62" s="226"/>
      <c r="I62" s="226"/>
      <c r="J62" s="226"/>
      <c r="K62" s="226"/>
      <c r="L62" s="226"/>
      <c r="M62" s="226"/>
      <c r="N62" s="226"/>
      <c r="O62" s="226"/>
      <c r="P62" s="226"/>
      <c r="Q62" s="227"/>
      <c r="R62" s="227"/>
    </row>
    <row r="63" spans="1:18" ht="19.5" customHeight="1" hidden="1">
      <c r="A63" s="225"/>
      <c r="B63" s="559" t="s">
        <v>274</v>
      </c>
      <c r="C63" s="224" t="s">
        <v>183</v>
      </c>
      <c r="D63" s="412"/>
      <c r="E63" s="226"/>
      <c r="F63" s="226"/>
      <c r="G63" s="226"/>
      <c r="H63" s="226"/>
      <c r="I63" s="226"/>
      <c r="J63" s="226"/>
      <c r="K63" s="226"/>
      <c r="L63" s="226"/>
      <c r="M63" s="226"/>
      <c r="N63" s="226"/>
      <c r="O63" s="226"/>
      <c r="P63" s="226"/>
      <c r="Q63" s="227"/>
      <c r="R63" s="227"/>
    </row>
    <row r="64" spans="1:18" ht="19.5" customHeight="1" hidden="1">
      <c r="A64" s="225"/>
      <c r="B64" s="559" t="s">
        <v>275</v>
      </c>
      <c r="C64" s="224" t="s">
        <v>183</v>
      </c>
      <c r="D64" s="412"/>
      <c r="E64" s="226"/>
      <c r="F64" s="226"/>
      <c r="G64" s="226"/>
      <c r="H64" s="226"/>
      <c r="I64" s="226"/>
      <c r="J64" s="226"/>
      <c r="K64" s="226"/>
      <c r="L64" s="226"/>
      <c r="M64" s="226"/>
      <c r="N64" s="226"/>
      <c r="O64" s="226"/>
      <c r="P64" s="226"/>
      <c r="Q64" s="227"/>
      <c r="R64" s="227"/>
    </row>
    <row r="65" spans="1:18" ht="34.5" customHeight="1">
      <c r="A65" s="502" t="s">
        <v>267</v>
      </c>
      <c r="B65" s="559" t="s">
        <v>615</v>
      </c>
      <c r="C65" s="224" t="s">
        <v>276</v>
      </c>
      <c r="D65" s="412">
        <v>2</v>
      </c>
      <c r="E65" s="226">
        <v>5</v>
      </c>
      <c r="F65" s="226"/>
      <c r="G65" s="226"/>
      <c r="H65" s="226"/>
      <c r="I65" s="226"/>
      <c r="J65" s="226"/>
      <c r="K65" s="226"/>
      <c r="L65" s="226"/>
      <c r="M65" s="226"/>
      <c r="N65" s="226"/>
      <c r="O65" s="226"/>
      <c r="P65" s="226"/>
      <c r="Q65" s="228"/>
      <c r="R65" s="228">
        <f>E65/D65*100</f>
        <v>250</v>
      </c>
    </row>
    <row r="66" spans="1:18" ht="40.5" customHeight="1">
      <c r="A66" s="422"/>
      <c r="B66" s="559" t="s">
        <v>652</v>
      </c>
      <c r="C66" s="224" t="s">
        <v>277</v>
      </c>
      <c r="D66" s="412">
        <v>2</v>
      </c>
      <c r="E66" s="226">
        <v>5</v>
      </c>
      <c r="F66" s="226"/>
      <c r="G66" s="226"/>
      <c r="H66" s="226"/>
      <c r="I66" s="226"/>
      <c r="J66" s="226"/>
      <c r="K66" s="226"/>
      <c r="L66" s="226"/>
      <c r="M66" s="226"/>
      <c r="N66" s="226"/>
      <c r="O66" s="226"/>
      <c r="P66" s="226"/>
      <c r="Q66" s="228"/>
      <c r="R66" s="228">
        <f>E66/D66*100</f>
        <v>250</v>
      </c>
    </row>
    <row r="67" spans="1:28" ht="45.75" customHeight="1">
      <c r="A67" s="502" t="s">
        <v>273</v>
      </c>
      <c r="B67" s="559" t="s">
        <v>653</v>
      </c>
      <c r="C67" s="224" t="s">
        <v>613</v>
      </c>
      <c r="D67" s="226">
        <v>29</v>
      </c>
      <c r="E67" s="228">
        <v>35</v>
      </c>
      <c r="F67" s="228"/>
      <c r="G67" s="228"/>
      <c r="H67" s="228"/>
      <c r="I67" s="228"/>
      <c r="J67" s="228"/>
      <c r="K67" s="228"/>
      <c r="L67" s="228"/>
      <c r="M67" s="228"/>
      <c r="N67" s="228"/>
      <c r="O67" s="228"/>
      <c r="P67" s="228"/>
      <c r="Q67" s="227"/>
      <c r="R67" s="227">
        <f>E67/D67*100</f>
        <v>120.6896551724138</v>
      </c>
      <c r="S67" s="406"/>
      <c r="T67" s="227"/>
      <c r="U67" s="227"/>
      <c r="V67" s="227"/>
      <c r="W67" s="227"/>
      <c r="X67" s="227"/>
      <c r="Y67" s="227"/>
      <c r="Z67" s="227"/>
      <c r="AA67" s="228" t="e">
        <f>#REF!/D67*100</f>
        <v>#REF!</v>
      </c>
      <c r="AB67" s="229"/>
    </row>
    <row r="68" spans="1:28" ht="51" customHeight="1">
      <c r="A68" s="225"/>
      <c r="B68" s="559" t="s">
        <v>654</v>
      </c>
      <c r="C68" s="224" t="s">
        <v>613</v>
      </c>
      <c r="D68" s="226">
        <v>29</v>
      </c>
      <c r="E68" s="228">
        <v>35</v>
      </c>
      <c r="F68" s="228"/>
      <c r="G68" s="228"/>
      <c r="H68" s="228"/>
      <c r="I68" s="228"/>
      <c r="J68" s="228"/>
      <c r="K68" s="228"/>
      <c r="L68" s="228"/>
      <c r="M68" s="228"/>
      <c r="N68" s="228"/>
      <c r="O68" s="228"/>
      <c r="P68" s="228"/>
      <c r="Q68" s="227"/>
      <c r="R68" s="227">
        <f>E68/D68*100</f>
        <v>120.6896551724138</v>
      </c>
      <c r="S68" s="406"/>
      <c r="T68" s="227"/>
      <c r="U68" s="227"/>
      <c r="V68" s="227"/>
      <c r="W68" s="227"/>
      <c r="X68" s="227"/>
      <c r="Y68" s="227"/>
      <c r="Z68" s="227"/>
      <c r="AA68" s="227"/>
      <c r="AB68" s="230" t="e">
        <f>#REF!/#REF!*100</f>
        <v>#REF!</v>
      </c>
    </row>
    <row r="69" ht="15.75" customHeight="1"/>
    <row r="70" ht="15.75" customHeight="1"/>
    <row r="71" spans="1:2" s="79" customFormat="1" ht="15.75" customHeight="1">
      <c r="A71" s="78"/>
      <c r="B71" s="567"/>
    </row>
    <row r="72" ht="15.75" customHeight="1">
      <c r="A72" s="82"/>
    </row>
    <row r="73" ht="15.75" customHeight="1"/>
    <row r="74" ht="15.75" customHeight="1"/>
    <row r="75" spans="1:2" s="79" customFormat="1" ht="15.75" customHeight="1">
      <c r="A75" s="78"/>
      <c r="B75" s="567"/>
    </row>
    <row r="76" ht="15.75" customHeight="1"/>
    <row r="77" ht="30" customHeight="1">
      <c r="A77" s="82"/>
    </row>
    <row r="78" ht="15.75" customHeight="1">
      <c r="A78" s="82"/>
    </row>
    <row r="79" ht="15.75">
      <c r="A79" s="82"/>
    </row>
    <row r="80" ht="15.75">
      <c r="A80" s="82"/>
    </row>
    <row r="81" ht="15.75">
      <c r="A81" s="82"/>
    </row>
    <row r="82" ht="18" customHeight="1" hidden="1"/>
    <row r="83" ht="18" customHeight="1" hidden="1"/>
    <row r="84" ht="16.5" customHeight="1" hidden="1"/>
    <row r="85" ht="16.5" customHeight="1" hidden="1"/>
    <row r="86" ht="16.5" customHeight="1" hidden="1"/>
    <row r="87" ht="16.5" customHeight="1" hidden="1"/>
    <row r="88" ht="16.5" customHeight="1" hidden="1"/>
    <row r="89" ht="16.5" customHeight="1" hidden="1"/>
    <row r="90" ht="16.5" customHeight="1" hidden="1"/>
    <row r="91" spans="1:2" s="79" customFormat="1" ht="18.75" customHeight="1">
      <c r="A91" s="78"/>
      <c r="B91" s="567"/>
    </row>
    <row r="92" ht="33" customHeight="1" hidden="1"/>
    <row r="93" ht="34.5" customHeight="1" hidden="1"/>
    <row r="95" ht="49.5" customHeight="1"/>
    <row r="96" ht="31.5" customHeight="1"/>
    <row r="97" ht="19.5" customHeight="1"/>
    <row r="98" ht="15.75">
      <c r="A98" s="82"/>
    </row>
    <row r="99" ht="18" customHeight="1">
      <c r="A99" s="82"/>
    </row>
    <row r="100" ht="18" customHeight="1">
      <c r="A100" s="82"/>
    </row>
    <row r="101" ht="18" customHeight="1">
      <c r="A101" s="82"/>
    </row>
    <row r="102" ht="18" customHeight="1">
      <c r="A102" s="82"/>
    </row>
    <row r="103" ht="18" customHeight="1">
      <c r="A103" s="82"/>
    </row>
    <row r="104" ht="18" customHeight="1">
      <c r="A104" s="82"/>
    </row>
    <row r="105" ht="18" customHeight="1">
      <c r="A105" s="82"/>
    </row>
    <row r="106" ht="15.75">
      <c r="A106" s="82"/>
    </row>
    <row r="107" ht="18" customHeight="1">
      <c r="A107" s="82"/>
    </row>
    <row r="108" ht="18" customHeight="1">
      <c r="A108" s="82"/>
    </row>
  </sheetData>
  <sheetProtection/>
  <mergeCells count="10">
    <mergeCell ref="E4:Q4"/>
    <mergeCell ref="R4:R6"/>
    <mergeCell ref="A1:R1"/>
    <mergeCell ref="A2:R2"/>
    <mergeCell ref="A4:A6"/>
    <mergeCell ref="B4:B6"/>
    <mergeCell ref="C4:C6"/>
    <mergeCell ref="D4:D6"/>
    <mergeCell ref="E5:E6"/>
    <mergeCell ref="F5:Q5"/>
  </mergeCells>
  <printOptions/>
  <pageMargins left="0.79" right="0.1968503937007874" top="0.59" bottom="0.53" header="0.1968503937007874" footer="0.1968503937007874"/>
  <pageSetup horizontalDpi="600" verticalDpi="600" orientation="landscape" paperSize="9" scale="65" r:id="rId2"/>
  <colBreaks count="1" manualBreakCount="1">
    <brk id="18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22"/>
  <sheetViews>
    <sheetView zoomScale="115" zoomScaleNormal="115" zoomScalePageLayoutView="0" workbookViewId="0" topLeftCell="A1">
      <selection activeCell="A3" sqref="A3:F3"/>
    </sheetView>
  </sheetViews>
  <sheetFormatPr defaultColWidth="9.140625" defaultRowHeight="12.75"/>
  <cols>
    <col min="1" max="1" width="5.00390625" style="511" customWidth="1"/>
    <col min="2" max="2" width="50.00390625" style="4" customWidth="1"/>
    <col min="3" max="3" width="11.28125" style="4" customWidth="1"/>
    <col min="4" max="4" width="11.00390625" style="509" customWidth="1"/>
    <col min="5" max="5" width="10.140625" style="43" customWidth="1"/>
    <col min="6" max="6" width="15.57421875" style="43" customWidth="1"/>
    <col min="7" max="16384" width="9.140625" style="4" customWidth="1"/>
  </cols>
  <sheetData>
    <row r="1" spans="1:6" s="69" customFormat="1" ht="16.5">
      <c r="A1" s="475" t="s">
        <v>703</v>
      </c>
      <c r="B1" s="67"/>
      <c r="C1" s="67"/>
      <c r="D1" s="68"/>
      <c r="E1" s="67"/>
      <c r="F1" s="67"/>
    </row>
    <row r="2" spans="1:6" s="2" customFormat="1" ht="18.75" customHeight="1">
      <c r="A2" s="808" t="s">
        <v>655</v>
      </c>
      <c r="B2" s="808"/>
      <c r="C2" s="808"/>
      <c r="D2" s="808"/>
      <c r="E2" s="808"/>
      <c r="F2" s="808"/>
    </row>
    <row r="3" spans="1:7" s="1" customFormat="1" ht="19.5" customHeight="1">
      <c r="A3" s="809" t="s">
        <v>697</v>
      </c>
      <c r="B3" s="809"/>
      <c r="C3" s="809"/>
      <c r="D3" s="809"/>
      <c r="E3" s="809"/>
      <c r="F3" s="809"/>
      <c r="G3" s="5"/>
    </row>
    <row r="4" spans="1:6" s="69" customFormat="1" ht="12" customHeight="1">
      <c r="A4" s="42"/>
      <c r="B4" s="70"/>
      <c r="C4" s="70"/>
      <c r="D4" s="42"/>
      <c r="E4" s="70"/>
      <c r="F4" s="70"/>
    </row>
    <row r="5" spans="1:6" s="71" customFormat="1" ht="15.75" customHeight="1">
      <c r="A5" s="766" t="s">
        <v>44</v>
      </c>
      <c r="B5" s="766" t="s">
        <v>49</v>
      </c>
      <c r="C5" s="766" t="s">
        <v>45</v>
      </c>
      <c r="D5" s="806" t="s">
        <v>689</v>
      </c>
      <c r="E5" s="806" t="s">
        <v>683</v>
      </c>
      <c r="F5" s="766" t="s">
        <v>704</v>
      </c>
    </row>
    <row r="6" spans="1:6" s="71" customFormat="1" ht="20.25" customHeight="1">
      <c r="A6" s="766"/>
      <c r="B6" s="766"/>
      <c r="C6" s="766"/>
      <c r="D6" s="806"/>
      <c r="E6" s="806"/>
      <c r="F6" s="766"/>
    </row>
    <row r="7" spans="1:6" s="71" customFormat="1" ht="56.25" customHeight="1">
      <c r="A7" s="766"/>
      <c r="B7" s="766"/>
      <c r="C7" s="766"/>
      <c r="D7" s="806"/>
      <c r="E7" s="806"/>
      <c r="F7" s="766"/>
    </row>
    <row r="8" spans="1:6" s="231" customFormat="1" ht="18.75" customHeight="1">
      <c r="A8" s="55" t="s">
        <v>202</v>
      </c>
      <c r="B8" s="239" t="s">
        <v>345</v>
      </c>
      <c r="C8" s="55"/>
      <c r="D8" s="39"/>
      <c r="E8" s="240"/>
      <c r="F8" s="240"/>
    </row>
    <row r="9" spans="1:6" s="231" customFormat="1" ht="18.75" customHeight="1">
      <c r="A9" s="55" t="s">
        <v>191</v>
      </c>
      <c r="B9" s="239" t="s">
        <v>346</v>
      </c>
      <c r="C9" s="55"/>
      <c r="D9" s="39"/>
      <c r="E9" s="242"/>
      <c r="F9" s="242"/>
    </row>
    <row r="10" spans="1:6" s="231" customFormat="1" ht="17.25" customHeight="1">
      <c r="A10" s="243"/>
      <c r="B10" s="244" t="s">
        <v>347</v>
      </c>
      <c r="C10" s="243" t="s">
        <v>157</v>
      </c>
      <c r="D10" s="711">
        <v>11</v>
      </c>
      <c r="E10" s="506">
        <v>11</v>
      </c>
      <c r="F10" s="245">
        <v>100</v>
      </c>
    </row>
    <row r="11" spans="1:7" s="231" customFormat="1" ht="15.75" customHeight="1">
      <c r="A11" s="243"/>
      <c r="B11" s="244" t="s">
        <v>348</v>
      </c>
      <c r="C11" s="243" t="s">
        <v>12</v>
      </c>
      <c r="D11" s="711">
        <v>100</v>
      </c>
      <c r="E11" s="247">
        <v>100</v>
      </c>
      <c r="F11" s="712"/>
      <c r="G11" s="232"/>
    </row>
    <row r="12" spans="1:6" s="231" customFormat="1" ht="17.25" customHeight="1">
      <c r="A12" s="243"/>
      <c r="B12" s="244" t="s">
        <v>349</v>
      </c>
      <c r="C12" s="243" t="s">
        <v>616</v>
      </c>
      <c r="D12" s="247">
        <v>5367</v>
      </c>
      <c r="E12" s="247">
        <v>5467</v>
      </c>
      <c r="F12" s="712">
        <f>E12/D12*100</f>
        <v>101.86323830817963</v>
      </c>
    </row>
    <row r="13" spans="1:6" s="231" customFormat="1" ht="18.75" customHeight="1">
      <c r="A13" s="243"/>
      <c r="B13" s="244" t="s">
        <v>350</v>
      </c>
      <c r="C13" s="243" t="s">
        <v>351</v>
      </c>
      <c r="D13" s="397">
        <v>4.3</v>
      </c>
      <c r="E13" s="397">
        <v>4.5</v>
      </c>
      <c r="F13" s="712">
        <f>E13/D13*100</f>
        <v>104.65116279069768</v>
      </c>
    </row>
    <row r="14" spans="1:6" s="233" customFormat="1" ht="18.75" customHeight="1">
      <c r="A14" s="55" t="s">
        <v>196</v>
      </c>
      <c r="B14" s="239" t="s">
        <v>352</v>
      </c>
      <c r="C14" s="55"/>
      <c r="D14" s="39"/>
      <c r="E14" s="505"/>
      <c r="F14" s="246"/>
    </row>
    <row r="15" spans="1:6" s="231" customFormat="1" ht="18.75" customHeight="1">
      <c r="A15" s="243"/>
      <c r="B15" s="244" t="s">
        <v>498</v>
      </c>
      <c r="C15" s="243" t="s">
        <v>353</v>
      </c>
      <c r="D15" s="247">
        <v>295</v>
      </c>
      <c r="E15" s="506">
        <v>295</v>
      </c>
      <c r="F15" s="245">
        <f aca="true" t="shared" si="0" ref="F15:F23">E15/D15*100</f>
        <v>100</v>
      </c>
    </row>
    <row r="16" spans="1:6" s="231" customFormat="1" ht="18.75" customHeight="1">
      <c r="A16" s="243"/>
      <c r="B16" s="244" t="s">
        <v>499</v>
      </c>
      <c r="C16" s="243" t="s">
        <v>353</v>
      </c>
      <c r="D16" s="247">
        <v>34125</v>
      </c>
      <c r="E16" s="506">
        <v>34750</v>
      </c>
      <c r="F16" s="712">
        <f t="shared" si="0"/>
        <v>101.83150183150182</v>
      </c>
    </row>
    <row r="17" spans="1:6" s="231" customFormat="1" ht="18.75" customHeight="1">
      <c r="A17" s="243"/>
      <c r="B17" s="244" t="s">
        <v>354</v>
      </c>
      <c r="C17" s="243" t="s">
        <v>355</v>
      </c>
      <c r="D17" s="715">
        <v>57.8</v>
      </c>
      <c r="E17" s="713">
        <f>E16*100/59407</f>
        <v>58.49479017624186</v>
      </c>
      <c r="F17" s="246">
        <f t="shared" si="0"/>
        <v>101.20205912844614</v>
      </c>
    </row>
    <row r="18" spans="1:6" s="231" customFormat="1" ht="18.75" customHeight="1">
      <c r="A18" s="243"/>
      <c r="B18" s="244" t="s">
        <v>356</v>
      </c>
      <c r="C18" s="243" t="s">
        <v>148</v>
      </c>
      <c r="D18" s="711">
        <v>56</v>
      </c>
      <c r="E18" s="247">
        <v>63</v>
      </c>
      <c r="F18" s="246">
        <f t="shared" si="0"/>
        <v>112.5</v>
      </c>
    </row>
    <row r="19" spans="1:6" s="234" customFormat="1" ht="21.75" customHeight="1">
      <c r="A19" s="243"/>
      <c r="B19" s="244" t="s">
        <v>617</v>
      </c>
      <c r="C19" s="243" t="s">
        <v>148</v>
      </c>
      <c r="D19" s="243">
        <v>12</v>
      </c>
      <c r="E19" s="243">
        <v>12</v>
      </c>
      <c r="F19" s="245">
        <f t="shared" si="0"/>
        <v>100</v>
      </c>
    </row>
    <row r="20" spans="1:7" s="231" customFormat="1" ht="18.75" customHeight="1">
      <c r="A20" s="55" t="s">
        <v>197</v>
      </c>
      <c r="B20" s="239" t="s">
        <v>357</v>
      </c>
      <c r="C20" s="55"/>
      <c r="D20" s="39"/>
      <c r="E20" s="250"/>
      <c r="F20" s="246"/>
      <c r="G20" s="232"/>
    </row>
    <row r="21" spans="1:6" s="231" customFormat="1" ht="18.75" customHeight="1">
      <c r="A21" s="243"/>
      <c r="B21" s="244" t="s">
        <v>372</v>
      </c>
      <c r="C21" s="243" t="s">
        <v>353</v>
      </c>
      <c r="D21" s="714">
        <v>1969</v>
      </c>
      <c r="E21" s="714">
        <v>1975</v>
      </c>
      <c r="F21" s="246">
        <f t="shared" si="0"/>
        <v>100.30472320975115</v>
      </c>
    </row>
    <row r="22" spans="1:6" s="235" customFormat="1" ht="18.75" customHeight="1">
      <c r="A22" s="243"/>
      <c r="B22" s="244" t="s">
        <v>358</v>
      </c>
      <c r="C22" s="243" t="s">
        <v>353</v>
      </c>
      <c r="D22" s="715">
        <v>3.3</v>
      </c>
      <c r="E22" s="713">
        <f>E21*100/59407</f>
        <v>3.3245240459878467</v>
      </c>
      <c r="F22" s="246">
        <f t="shared" si="0"/>
        <v>100.74315290872262</v>
      </c>
    </row>
    <row r="23" spans="1:6" s="231" customFormat="1" ht="18.75" customHeight="1">
      <c r="A23" s="243"/>
      <c r="B23" s="244" t="s">
        <v>618</v>
      </c>
      <c r="C23" s="243" t="s">
        <v>157</v>
      </c>
      <c r="D23" s="711">
        <v>12</v>
      </c>
      <c r="E23" s="247">
        <v>12</v>
      </c>
      <c r="F23" s="245">
        <f t="shared" si="0"/>
        <v>100</v>
      </c>
    </row>
    <row r="24" spans="1:6" s="231" customFormat="1" ht="18.75" customHeight="1">
      <c r="A24" s="243"/>
      <c r="B24" s="244" t="s">
        <v>619</v>
      </c>
      <c r="C24" s="243" t="s">
        <v>12</v>
      </c>
      <c r="D24" s="711">
        <v>100</v>
      </c>
      <c r="E24" s="247">
        <v>100</v>
      </c>
      <c r="F24" s="246"/>
    </row>
    <row r="25" spans="1:6" s="234" customFormat="1" ht="18.75" customHeight="1">
      <c r="A25" s="55" t="s">
        <v>3</v>
      </c>
      <c r="B25" s="248" t="s">
        <v>500</v>
      </c>
      <c r="C25" s="55"/>
      <c r="D25" s="39"/>
      <c r="E25" s="249"/>
      <c r="F25" s="246"/>
    </row>
    <row r="26" spans="1:6" s="234" customFormat="1" ht="17.25" customHeight="1">
      <c r="A26" s="252" t="s">
        <v>191</v>
      </c>
      <c r="B26" s="251" t="s">
        <v>501</v>
      </c>
      <c r="C26" s="252"/>
      <c r="D26" s="241"/>
      <c r="E26" s="249"/>
      <c r="F26" s="246"/>
    </row>
    <row r="27" spans="1:6" s="231" customFormat="1" ht="18.75" customHeight="1">
      <c r="A27" s="510">
        <v>1</v>
      </c>
      <c r="B27" s="253" t="s">
        <v>620</v>
      </c>
      <c r="C27" s="254" t="s">
        <v>531</v>
      </c>
      <c r="D27" s="507">
        <v>13910</v>
      </c>
      <c r="E27" s="242">
        <v>13910</v>
      </c>
      <c r="F27" s="242">
        <f>E27/D27*100</f>
        <v>100</v>
      </c>
    </row>
    <row r="28" spans="1:6" s="231" customFormat="1" ht="18.75" customHeight="1">
      <c r="A28" s="510">
        <v>2</v>
      </c>
      <c r="B28" s="253" t="s">
        <v>502</v>
      </c>
      <c r="C28" s="254" t="s">
        <v>531</v>
      </c>
      <c r="D28" s="247">
        <v>16</v>
      </c>
      <c r="E28" s="245">
        <v>16</v>
      </c>
      <c r="F28" s="245">
        <f>E28/D28*100</f>
        <v>100</v>
      </c>
    </row>
    <row r="29" spans="1:6" s="231" customFormat="1" ht="18.75" customHeight="1">
      <c r="A29" s="510">
        <v>3</v>
      </c>
      <c r="B29" s="253" t="s">
        <v>503</v>
      </c>
      <c r="C29" s="254" t="s">
        <v>532</v>
      </c>
      <c r="D29" s="247">
        <v>7</v>
      </c>
      <c r="E29" s="245">
        <v>9</v>
      </c>
      <c r="F29" s="246">
        <f>E29/D29*100</f>
        <v>128.57142857142858</v>
      </c>
    </row>
    <row r="30" spans="1:6" s="231" customFormat="1" ht="18.75" customHeight="1">
      <c r="A30" s="510">
        <v>4</v>
      </c>
      <c r="B30" s="253" t="s">
        <v>504</v>
      </c>
      <c r="C30" s="254" t="s">
        <v>157</v>
      </c>
      <c r="D30" s="247">
        <v>5</v>
      </c>
      <c r="E30" s="716">
        <v>5</v>
      </c>
      <c r="F30" s="245">
        <f>E30/D30*100</f>
        <v>100</v>
      </c>
    </row>
    <row r="31" spans="1:6" s="231" customFormat="1" ht="18.75" customHeight="1">
      <c r="A31" s="510"/>
      <c r="B31" s="253" t="s">
        <v>505</v>
      </c>
      <c r="C31" s="254" t="s">
        <v>12</v>
      </c>
      <c r="D31" s="505">
        <f>D30/12*100</f>
        <v>41.66666666666667</v>
      </c>
      <c r="E31" s="717">
        <f>E30/12*100</f>
        <v>41.66666666666667</v>
      </c>
      <c r="F31" s="246"/>
    </row>
    <row r="32" spans="1:6" s="236" customFormat="1" ht="18.75" customHeight="1">
      <c r="A32" s="510">
        <v>5</v>
      </c>
      <c r="B32" s="253" t="s">
        <v>506</v>
      </c>
      <c r="C32" s="254" t="s">
        <v>186</v>
      </c>
      <c r="D32" s="247">
        <v>11542</v>
      </c>
      <c r="E32" s="245">
        <v>11677</v>
      </c>
      <c r="F32" s="246">
        <f>E32/D32*100</f>
        <v>101.16964130999825</v>
      </c>
    </row>
    <row r="33" spans="1:6" s="236" customFormat="1" ht="18.75" customHeight="1">
      <c r="A33" s="510"/>
      <c r="B33" s="253" t="s">
        <v>507</v>
      </c>
      <c r="C33" s="254" t="s">
        <v>12</v>
      </c>
      <c r="D33" s="247">
        <v>100</v>
      </c>
      <c r="E33" s="245">
        <v>100</v>
      </c>
      <c r="F33" s="245"/>
    </row>
    <row r="34" spans="1:6" s="236" customFormat="1" ht="18.75" customHeight="1">
      <c r="A34" s="510">
        <v>6</v>
      </c>
      <c r="B34" s="253" t="s">
        <v>508</v>
      </c>
      <c r="C34" s="254" t="s">
        <v>157</v>
      </c>
      <c r="D34" s="247">
        <v>12</v>
      </c>
      <c r="E34" s="250">
        <v>12</v>
      </c>
      <c r="F34" s="245">
        <f>E34/D34*100</f>
        <v>100</v>
      </c>
    </row>
    <row r="35" spans="1:6" s="236" customFormat="1" ht="33.75" customHeight="1">
      <c r="A35" s="510"/>
      <c r="B35" s="253" t="s">
        <v>509</v>
      </c>
      <c r="C35" s="254" t="s">
        <v>12</v>
      </c>
      <c r="D35" s="506">
        <v>100</v>
      </c>
      <c r="E35" s="245">
        <v>100</v>
      </c>
      <c r="F35" s="242"/>
    </row>
    <row r="36" spans="1:6" s="236" customFormat="1" ht="18.75" customHeight="1">
      <c r="A36" s="510">
        <v>7</v>
      </c>
      <c r="B36" s="253" t="s">
        <v>510</v>
      </c>
      <c r="C36" s="254" t="s">
        <v>186</v>
      </c>
      <c r="D36" s="247">
        <f>D32</f>
        <v>11542</v>
      </c>
      <c r="E36" s="250">
        <f>E32</f>
        <v>11677</v>
      </c>
      <c r="F36" s="246">
        <f>E36/D36*100</f>
        <v>101.16964130999825</v>
      </c>
    </row>
    <row r="37" spans="1:6" s="236" customFormat="1" ht="18.75" customHeight="1">
      <c r="A37" s="510"/>
      <c r="B37" s="253" t="s">
        <v>511</v>
      </c>
      <c r="C37" s="254" t="s">
        <v>12</v>
      </c>
      <c r="D37" s="247">
        <v>100</v>
      </c>
      <c r="E37" s="250">
        <v>100</v>
      </c>
      <c r="F37" s="246"/>
    </row>
    <row r="38" spans="1:6" s="236" customFormat="1" ht="15.75" customHeight="1">
      <c r="A38" s="252" t="s">
        <v>196</v>
      </c>
      <c r="B38" s="251" t="s">
        <v>512</v>
      </c>
      <c r="C38" s="252"/>
      <c r="D38" s="247"/>
      <c r="E38" s="250"/>
      <c r="F38" s="246"/>
    </row>
    <row r="39" spans="1:6" s="236" customFormat="1" ht="17.25" customHeight="1">
      <c r="A39" s="510">
        <v>1</v>
      </c>
      <c r="B39" s="255" t="s">
        <v>621</v>
      </c>
      <c r="C39" s="256" t="s">
        <v>531</v>
      </c>
      <c r="D39" s="247">
        <v>41724</v>
      </c>
      <c r="E39" s="716">
        <v>41721</v>
      </c>
      <c r="F39" s="245">
        <f>E39/D39*100</f>
        <v>99.99280989358643</v>
      </c>
    </row>
    <row r="40" spans="1:6" s="236" customFormat="1" ht="18.75" customHeight="1">
      <c r="A40" s="510">
        <v>2</v>
      </c>
      <c r="B40" s="255" t="s">
        <v>513</v>
      </c>
      <c r="C40" s="256" t="s">
        <v>186</v>
      </c>
      <c r="D40" s="247">
        <f>D36</f>
        <v>11542</v>
      </c>
      <c r="E40" s="250">
        <f>E36</f>
        <v>11677</v>
      </c>
      <c r="F40" s="246">
        <f>E40/D40*100</f>
        <v>101.16964130999825</v>
      </c>
    </row>
    <row r="41" spans="1:6" s="236" customFormat="1" ht="18.75" customHeight="1">
      <c r="A41" s="252"/>
      <c r="B41" s="255" t="s">
        <v>514</v>
      </c>
      <c r="C41" s="256" t="s">
        <v>12</v>
      </c>
      <c r="D41" s="247">
        <v>100</v>
      </c>
      <c r="E41" s="250">
        <v>100</v>
      </c>
      <c r="F41" s="246"/>
    </row>
    <row r="42" spans="1:6" s="236" customFormat="1" ht="18.75" customHeight="1">
      <c r="A42" s="510">
        <v>3</v>
      </c>
      <c r="B42" s="255" t="s">
        <v>515</v>
      </c>
      <c r="C42" s="256" t="s">
        <v>157</v>
      </c>
      <c r="D42" s="247">
        <v>12</v>
      </c>
      <c r="E42" s="250">
        <v>12</v>
      </c>
      <c r="F42" s="245">
        <v>100</v>
      </c>
    </row>
    <row r="43" spans="1:6" s="236" customFormat="1" ht="18.75" customHeight="1">
      <c r="A43" s="510"/>
      <c r="B43" s="255" t="s">
        <v>516</v>
      </c>
      <c r="C43" s="256" t="s">
        <v>12</v>
      </c>
      <c r="D43" s="247">
        <v>100</v>
      </c>
      <c r="E43" s="250">
        <v>100</v>
      </c>
      <c r="F43" s="245"/>
    </row>
    <row r="44" spans="1:6" s="236" customFormat="1" ht="18.75" customHeight="1">
      <c r="A44" s="510">
        <v>4</v>
      </c>
      <c r="B44" s="255" t="s">
        <v>517</v>
      </c>
      <c r="C44" s="256" t="s">
        <v>186</v>
      </c>
      <c r="D44" s="247">
        <f>D40</f>
        <v>11542</v>
      </c>
      <c r="E44" s="250">
        <f>E40</f>
        <v>11677</v>
      </c>
      <c r="F44" s="246">
        <f>E44/D44*100</f>
        <v>101.16964130999825</v>
      </c>
    </row>
    <row r="45" spans="1:6" s="236" customFormat="1" ht="18.75" customHeight="1">
      <c r="A45" s="510"/>
      <c r="B45" s="255" t="s">
        <v>518</v>
      </c>
      <c r="C45" s="256" t="s">
        <v>12</v>
      </c>
      <c r="D45" s="247">
        <v>100</v>
      </c>
      <c r="E45" s="250">
        <v>100</v>
      </c>
      <c r="F45" s="242"/>
    </row>
    <row r="46" spans="1:6" s="237" customFormat="1" ht="18.75" customHeight="1">
      <c r="A46" s="252" t="s">
        <v>197</v>
      </c>
      <c r="B46" s="257" t="s">
        <v>519</v>
      </c>
      <c r="C46" s="258"/>
      <c r="D46" s="507"/>
      <c r="E46" s="474"/>
      <c r="F46" s="242"/>
    </row>
    <row r="47" spans="1:6" s="236" customFormat="1" ht="18.75" customHeight="1">
      <c r="A47" s="510">
        <v>1</v>
      </c>
      <c r="B47" s="255" t="s">
        <v>520</v>
      </c>
      <c r="C47" s="256"/>
      <c r="D47" s="247">
        <v>397</v>
      </c>
      <c r="E47" s="245">
        <v>397</v>
      </c>
      <c r="F47" s="245">
        <v>100</v>
      </c>
    </row>
    <row r="48" spans="1:6" s="236" customFormat="1" ht="18.75" customHeight="1">
      <c r="A48" s="510"/>
      <c r="B48" s="255" t="s">
        <v>521</v>
      </c>
      <c r="C48" s="807" t="s">
        <v>533</v>
      </c>
      <c r="D48" s="247">
        <v>5</v>
      </c>
      <c r="E48" s="250">
        <v>5</v>
      </c>
      <c r="F48" s="245">
        <v>100</v>
      </c>
    </row>
    <row r="49" spans="1:6" s="238" customFormat="1" ht="15">
      <c r="A49" s="510"/>
      <c r="B49" s="255" t="s">
        <v>522</v>
      </c>
      <c r="C49" s="807"/>
      <c r="D49" s="423">
        <v>392</v>
      </c>
      <c r="E49" s="473">
        <v>392</v>
      </c>
      <c r="F49" s="245">
        <v>100</v>
      </c>
    </row>
    <row r="50" spans="1:6" s="238" customFormat="1" ht="24">
      <c r="A50" s="510">
        <v>2</v>
      </c>
      <c r="B50" s="255" t="s">
        <v>523</v>
      </c>
      <c r="C50" s="256"/>
      <c r="D50" s="423"/>
      <c r="E50" s="473"/>
      <c r="F50" s="259"/>
    </row>
    <row r="51" spans="1:6" s="238" customFormat="1" ht="15">
      <c r="A51" s="510"/>
      <c r="B51" s="255" t="s">
        <v>524</v>
      </c>
      <c r="C51" s="807" t="s">
        <v>12</v>
      </c>
      <c r="D51" s="423">
        <v>100</v>
      </c>
      <c r="E51" s="473">
        <v>100</v>
      </c>
      <c r="F51" s="259"/>
    </row>
    <row r="52" spans="1:6" s="238" customFormat="1" ht="15">
      <c r="A52" s="510"/>
      <c r="B52" s="255" t="s">
        <v>525</v>
      </c>
      <c r="C52" s="807"/>
      <c r="D52" s="423">
        <v>79</v>
      </c>
      <c r="E52" s="473">
        <v>85</v>
      </c>
      <c r="F52" s="259">
        <f>E52-D52</f>
        <v>6</v>
      </c>
    </row>
    <row r="53" spans="1:6" s="238" customFormat="1" ht="15">
      <c r="A53" s="510">
        <v>3</v>
      </c>
      <c r="B53" s="255" t="s">
        <v>526</v>
      </c>
      <c r="C53" s="256"/>
      <c r="D53" s="423"/>
      <c r="E53" s="473"/>
      <c r="F53" s="259"/>
    </row>
    <row r="54" spans="1:6" s="238" customFormat="1" ht="15">
      <c r="A54" s="510"/>
      <c r="B54" s="255" t="s">
        <v>524</v>
      </c>
      <c r="C54" s="807" t="s">
        <v>12</v>
      </c>
      <c r="D54" s="423">
        <v>100</v>
      </c>
      <c r="E54" s="473">
        <v>100</v>
      </c>
      <c r="F54" s="259"/>
    </row>
    <row r="55" spans="1:6" s="238" customFormat="1" ht="15">
      <c r="A55" s="510"/>
      <c r="B55" s="255" t="s">
        <v>525</v>
      </c>
      <c r="C55" s="807"/>
      <c r="D55" s="423">
        <v>50</v>
      </c>
      <c r="E55" s="473">
        <v>60</v>
      </c>
      <c r="F55" s="259">
        <f>E55-D55</f>
        <v>10</v>
      </c>
    </row>
    <row r="56" spans="1:6" s="238" customFormat="1" ht="24">
      <c r="A56" s="510">
        <v>4</v>
      </c>
      <c r="B56" s="255" t="s">
        <v>527</v>
      </c>
      <c r="C56" s="256" t="s">
        <v>12</v>
      </c>
      <c r="D56" s="423">
        <v>100</v>
      </c>
      <c r="E56" s="473">
        <v>100</v>
      </c>
      <c r="F56" s="259"/>
    </row>
    <row r="57" spans="1:6" s="238" customFormat="1" ht="24">
      <c r="A57" s="510">
        <v>5</v>
      </c>
      <c r="B57" s="255" t="s">
        <v>528</v>
      </c>
      <c r="C57" s="256"/>
      <c r="D57" s="423"/>
      <c r="E57" s="473"/>
      <c r="F57" s="259"/>
    </row>
    <row r="58" spans="1:6" s="238" customFormat="1" ht="15">
      <c r="A58" s="510"/>
      <c r="B58" s="255" t="s">
        <v>524</v>
      </c>
      <c r="C58" s="807" t="s">
        <v>12</v>
      </c>
      <c r="D58" s="423">
        <v>100</v>
      </c>
      <c r="E58" s="473">
        <v>100</v>
      </c>
      <c r="F58" s="259"/>
    </row>
    <row r="59" spans="1:6" s="238" customFormat="1" ht="15">
      <c r="A59" s="510"/>
      <c r="B59" s="255" t="s">
        <v>525</v>
      </c>
      <c r="C59" s="807"/>
      <c r="D59" s="423">
        <v>70</v>
      </c>
      <c r="E59" s="473">
        <v>80</v>
      </c>
      <c r="F59" s="259">
        <f>E59-D59</f>
        <v>10</v>
      </c>
    </row>
    <row r="60" spans="1:6" s="238" customFormat="1" ht="24" hidden="1">
      <c r="A60" s="510"/>
      <c r="B60" s="255" t="s">
        <v>529</v>
      </c>
      <c r="C60" s="256" t="s">
        <v>534</v>
      </c>
      <c r="D60" s="423"/>
      <c r="E60" s="259"/>
      <c r="F60" s="259"/>
    </row>
    <row r="61" spans="1:6" s="238" customFormat="1" ht="15" hidden="1">
      <c r="A61" s="510"/>
      <c r="B61" s="255" t="s">
        <v>530</v>
      </c>
      <c r="C61" s="256" t="s">
        <v>12</v>
      </c>
      <c r="D61" s="423"/>
      <c r="E61" s="259"/>
      <c r="F61" s="259"/>
    </row>
    <row r="62" spans="1:4" s="85" customFormat="1" ht="12.75">
      <c r="A62" s="86"/>
      <c r="D62" s="508"/>
    </row>
    <row r="63" spans="1:4" s="85" customFormat="1" ht="12.75">
      <c r="A63" s="86"/>
      <c r="D63" s="508"/>
    </row>
    <row r="64" spans="1:4" s="85" customFormat="1" ht="12.75">
      <c r="A64" s="86"/>
      <c r="D64" s="508"/>
    </row>
    <row r="65" spans="1:4" s="85" customFormat="1" ht="12.75">
      <c r="A65" s="86"/>
      <c r="D65" s="508"/>
    </row>
    <row r="66" spans="1:4" s="85" customFormat="1" ht="12.75">
      <c r="A66" s="86"/>
      <c r="D66" s="508"/>
    </row>
    <row r="67" spans="1:4" s="85" customFormat="1" ht="12.75">
      <c r="A67" s="86"/>
      <c r="D67" s="508"/>
    </row>
    <row r="68" spans="1:4" s="85" customFormat="1" ht="12.75">
      <c r="A68" s="86"/>
      <c r="D68" s="508"/>
    </row>
    <row r="69" spans="1:4" s="85" customFormat="1" ht="12.75">
      <c r="A69" s="86"/>
      <c r="D69" s="508"/>
    </row>
    <row r="70" spans="1:4" s="85" customFormat="1" ht="12.75">
      <c r="A70" s="86"/>
      <c r="D70" s="508"/>
    </row>
    <row r="71" spans="1:4" s="85" customFormat="1" ht="12.75">
      <c r="A71" s="86"/>
      <c r="D71" s="508"/>
    </row>
    <row r="72" spans="1:4" s="85" customFormat="1" ht="12.75">
      <c r="A72" s="86"/>
      <c r="D72" s="508"/>
    </row>
    <row r="73" spans="1:4" s="85" customFormat="1" ht="12.75">
      <c r="A73" s="86"/>
      <c r="D73" s="508"/>
    </row>
    <row r="74" spans="1:4" s="85" customFormat="1" ht="12.75">
      <c r="A74" s="86"/>
      <c r="D74" s="508"/>
    </row>
    <row r="75" spans="1:4" s="85" customFormat="1" ht="12.75">
      <c r="A75" s="86"/>
      <c r="D75" s="508"/>
    </row>
    <row r="76" spans="1:4" s="85" customFormat="1" ht="12.75">
      <c r="A76" s="86"/>
      <c r="D76" s="508"/>
    </row>
    <row r="77" spans="1:4" s="85" customFormat="1" ht="12.75">
      <c r="A77" s="86"/>
      <c r="D77" s="508"/>
    </row>
    <row r="78" spans="1:4" s="85" customFormat="1" ht="12.75">
      <c r="A78" s="86"/>
      <c r="D78" s="508"/>
    </row>
    <row r="79" spans="1:4" s="85" customFormat="1" ht="12.75">
      <c r="A79" s="86"/>
      <c r="D79" s="508"/>
    </row>
    <row r="80" spans="1:4" s="85" customFormat="1" ht="12.75">
      <c r="A80" s="86"/>
      <c r="D80" s="508"/>
    </row>
    <row r="81" spans="1:4" s="85" customFormat="1" ht="12.75">
      <c r="A81" s="86"/>
      <c r="D81" s="508"/>
    </row>
    <row r="82" spans="1:4" s="85" customFormat="1" ht="12.75">
      <c r="A82" s="86"/>
      <c r="D82" s="508"/>
    </row>
    <row r="83" spans="1:4" s="85" customFormat="1" ht="12.75">
      <c r="A83" s="86"/>
      <c r="D83" s="508"/>
    </row>
    <row r="84" spans="1:4" s="85" customFormat="1" ht="12.75">
      <c r="A84" s="86"/>
      <c r="D84" s="508"/>
    </row>
    <row r="85" spans="1:4" s="85" customFormat="1" ht="12.75">
      <c r="A85" s="86"/>
      <c r="D85" s="508"/>
    </row>
    <row r="86" spans="1:4" s="85" customFormat="1" ht="12.75">
      <c r="A86" s="86"/>
      <c r="D86" s="508"/>
    </row>
    <row r="87" spans="1:4" s="85" customFormat="1" ht="12.75">
      <c r="A87" s="86"/>
      <c r="D87" s="508"/>
    </row>
    <row r="88" spans="1:4" s="85" customFormat="1" ht="12.75">
      <c r="A88" s="86"/>
      <c r="D88" s="508"/>
    </row>
    <row r="89" spans="1:4" s="85" customFormat="1" ht="12.75">
      <c r="A89" s="86"/>
      <c r="D89" s="508"/>
    </row>
    <row r="90" spans="1:4" s="85" customFormat="1" ht="12.75">
      <c r="A90" s="86"/>
      <c r="D90" s="508"/>
    </row>
    <row r="91" spans="1:4" s="85" customFormat="1" ht="12.75">
      <c r="A91" s="86"/>
      <c r="D91" s="508"/>
    </row>
    <row r="92" spans="1:4" s="85" customFormat="1" ht="12.75">
      <c r="A92" s="86"/>
      <c r="D92" s="508"/>
    </row>
    <row r="93" spans="1:4" s="85" customFormat="1" ht="12.75">
      <c r="A93" s="86"/>
      <c r="D93" s="508"/>
    </row>
    <row r="94" spans="1:4" s="85" customFormat="1" ht="12.75">
      <c r="A94" s="86"/>
      <c r="D94" s="508"/>
    </row>
    <row r="95" spans="1:4" s="85" customFormat="1" ht="12.75">
      <c r="A95" s="86"/>
      <c r="D95" s="508"/>
    </row>
    <row r="96" spans="1:4" s="85" customFormat="1" ht="12.75">
      <c r="A96" s="86"/>
      <c r="D96" s="508"/>
    </row>
    <row r="97" spans="1:4" s="85" customFormat="1" ht="12.75">
      <c r="A97" s="86"/>
      <c r="D97" s="508"/>
    </row>
    <row r="98" spans="1:4" s="85" customFormat="1" ht="12.75">
      <c r="A98" s="86"/>
      <c r="D98" s="508"/>
    </row>
    <row r="99" spans="1:4" s="85" customFormat="1" ht="12.75">
      <c r="A99" s="86"/>
      <c r="D99" s="508"/>
    </row>
    <row r="100" spans="1:4" s="85" customFormat="1" ht="12.75">
      <c r="A100" s="86"/>
      <c r="D100" s="508"/>
    </row>
    <row r="101" spans="1:4" s="85" customFormat="1" ht="12.75">
      <c r="A101" s="86"/>
      <c r="D101" s="508"/>
    </row>
    <row r="102" spans="1:4" s="85" customFormat="1" ht="12.75">
      <c r="A102" s="86"/>
      <c r="D102" s="508"/>
    </row>
    <row r="103" spans="1:4" s="85" customFormat="1" ht="12.75">
      <c r="A103" s="86"/>
      <c r="D103" s="508"/>
    </row>
    <row r="104" spans="1:4" s="85" customFormat="1" ht="12.75">
      <c r="A104" s="86"/>
      <c r="D104" s="508"/>
    </row>
    <row r="105" spans="1:4" s="85" customFormat="1" ht="12.75">
      <c r="A105" s="86"/>
      <c r="D105" s="508"/>
    </row>
    <row r="106" spans="1:4" s="85" customFormat="1" ht="12.75">
      <c r="A106" s="86"/>
      <c r="D106" s="508"/>
    </row>
    <row r="107" spans="1:4" s="85" customFormat="1" ht="12.75">
      <c r="A107" s="86"/>
      <c r="D107" s="508"/>
    </row>
    <row r="108" spans="1:4" s="85" customFormat="1" ht="12.75">
      <c r="A108" s="86"/>
      <c r="D108" s="508"/>
    </row>
    <row r="109" spans="1:4" s="85" customFormat="1" ht="12.75">
      <c r="A109" s="86"/>
      <c r="D109" s="508"/>
    </row>
    <row r="110" spans="1:4" s="85" customFormat="1" ht="12.75">
      <c r="A110" s="86"/>
      <c r="D110" s="508"/>
    </row>
    <row r="111" spans="1:4" s="85" customFormat="1" ht="12.75">
      <c r="A111" s="86"/>
      <c r="D111" s="508"/>
    </row>
    <row r="112" spans="1:4" s="85" customFormat="1" ht="12.75">
      <c r="A112" s="86"/>
      <c r="D112" s="508"/>
    </row>
    <row r="113" spans="1:4" s="85" customFormat="1" ht="12.75">
      <c r="A113" s="86"/>
      <c r="D113" s="508"/>
    </row>
    <row r="114" spans="1:4" s="85" customFormat="1" ht="12.75">
      <c r="A114" s="86"/>
      <c r="D114" s="508"/>
    </row>
    <row r="115" spans="1:4" s="85" customFormat="1" ht="12.75">
      <c r="A115" s="86"/>
      <c r="D115" s="508"/>
    </row>
    <row r="116" spans="1:4" s="85" customFormat="1" ht="12.75">
      <c r="A116" s="86"/>
      <c r="D116" s="508"/>
    </row>
    <row r="117" spans="1:4" s="85" customFormat="1" ht="12.75">
      <c r="A117" s="86"/>
      <c r="D117" s="508"/>
    </row>
    <row r="118" spans="1:4" s="85" customFormat="1" ht="12.75">
      <c r="A118" s="86"/>
      <c r="D118" s="508"/>
    </row>
    <row r="119" spans="1:4" s="85" customFormat="1" ht="12.75">
      <c r="A119" s="86"/>
      <c r="D119" s="508"/>
    </row>
    <row r="120" spans="1:4" s="85" customFormat="1" ht="12.75">
      <c r="A120" s="86"/>
      <c r="D120" s="508"/>
    </row>
    <row r="121" spans="1:4" s="85" customFormat="1" ht="12.75">
      <c r="A121" s="86"/>
      <c r="D121" s="508"/>
    </row>
    <row r="122" spans="1:4" s="85" customFormat="1" ht="12.75">
      <c r="A122" s="86"/>
      <c r="D122" s="508"/>
    </row>
  </sheetData>
  <sheetProtection/>
  <mergeCells count="12">
    <mergeCell ref="A2:F2"/>
    <mergeCell ref="A3:F3"/>
    <mergeCell ref="A5:A7"/>
    <mergeCell ref="B5:B7"/>
    <mergeCell ref="C5:C7"/>
    <mergeCell ref="D5:D7"/>
    <mergeCell ref="E5:E7"/>
    <mergeCell ref="F5:F7"/>
    <mergeCell ref="C48:C49"/>
    <mergeCell ref="C51:C52"/>
    <mergeCell ref="C54:C55"/>
    <mergeCell ref="C58:C59"/>
  </mergeCells>
  <printOptions/>
  <pageMargins left="0.5905511811023623" right="0.1968503937007874" top="0.54" bottom="0.45" header="0.31496062992125984" footer="0.31496062992125984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0"/>
  <sheetViews>
    <sheetView tabSelected="1" view="pageBreakPreview" zoomScale="130" zoomScaleSheetLayoutView="130" zoomScalePageLayoutView="0" workbookViewId="0" topLeftCell="A1">
      <selection activeCell="F10" sqref="F10"/>
    </sheetView>
  </sheetViews>
  <sheetFormatPr defaultColWidth="9.140625" defaultRowHeight="12.75"/>
  <cols>
    <col min="1" max="1" width="9.140625" style="718" customWidth="1"/>
    <col min="2" max="2" width="51.00390625" style="718" customWidth="1"/>
    <col min="3" max="3" width="9.7109375" style="718" customWidth="1"/>
    <col min="4" max="4" width="9.00390625" style="718" customWidth="1"/>
    <col min="5" max="5" width="8.421875" style="718" hidden="1" customWidth="1"/>
    <col min="6" max="6" width="10.28125" style="718" customWidth="1"/>
    <col min="7" max="7" width="17.8515625" style="718" customWidth="1"/>
    <col min="8" max="16384" width="9.140625" style="718" customWidth="1"/>
  </cols>
  <sheetData>
    <row r="1" spans="1:7" ht="18.75">
      <c r="A1" s="83" t="s">
        <v>702</v>
      </c>
      <c r="B1" s="84"/>
      <c r="C1" s="84"/>
      <c r="D1" s="84"/>
      <c r="E1" s="84"/>
      <c r="F1" s="84"/>
      <c r="G1" s="84"/>
    </row>
    <row r="2" spans="1:7" ht="15.75">
      <c r="A2" s="810" t="s">
        <v>656</v>
      </c>
      <c r="B2" s="810"/>
      <c r="C2" s="810"/>
      <c r="D2" s="810"/>
      <c r="E2" s="810"/>
      <c r="F2" s="810"/>
      <c r="G2" s="810"/>
    </row>
    <row r="3" spans="1:7" ht="18.75">
      <c r="A3" s="811" t="s">
        <v>697</v>
      </c>
      <c r="B3" s="811"/>
      <c r="C3" s="811"/>
      <c r="D3" s="811"/>
      <c r="E3" s="811"/>
      <c r="F3" s="811"/>
      <c r="G3" s="811"/>
    </row>
    <row r="4" spans="1:7" ht="12.75">
      <c r="A4" s="719"/>
      <c r="B4" s="719"/>
      <c r="C4" s="719"/>
      <c r="D4" s="719"/>
      <c r="E4" s="719"/>
      <c r="F4" s="719"/>
      <c r="G4" s="719"/>
    </row>
    <row r="5" spans="1:7" ht="24" customHeight="1">
      <c r="A5" s="758" t="s">
        <v>4</v>
      </c>
      <c r="B5" s="758" t="s">
        <v>49</v>
      </c>
      <c r="C5" s="758" t="s">
        <v>178</v>
      </c>
      <c r="D5" s="758" t="s">
        <v>690</v>
      </c>
      <c r="E5" s="732" t="s">
        <v>625</v>
      </c>
      <c r="F5" s="806" t="s">
        <v>683</v>
      </c>
      <c r="G5" s="766" t="s">
        <v>701</v>
      </c>
    </row>
    <row r="6" spans="1:7" ht="21" customHeight="1">
      <c r="A6" s="758"/>
      <c r="B6" s="758"/>
      <c r="C6" s="758"/>
      <c r="D6" s="758"/>
      <c r="E6" s="758" t="s">
        <v>622</v>
      </c>
      <c r="F6" s="806"/>
      <c r="G6" s="766"/>
    </row>
    <row r="7" spans="1:7" ht="43.5" customHeight="1">
      <c r="A7" s="758"/>
      <c r="B7" s="758"/>
      <c r="C7" s="758"/>
      <c r="D7" s="758"/>
      <c r="E7" s="758"/>
      <c r="F7" s="806"/>
      <c r="G7" s="766"/>
    </row>
    <row r="8" spans="1:7" ht="18" customHeight="1">
      <c r="A8" s="260" t="s">
        <v>202</v>
      </c>
      <c r="B8" s="424" t="s">
        <v>293</v>
      </c>
      <c r="C8" s="354"/>
      <c r="D8" s="425"/>
      <c r="E8" s="425"/>
      <c r="F8" s="425"/>
      <c r="G8" s="425"/>
    </row>
    <row r="9" spans="1:7" ht="24" customHeight="1">
      <c r="A9" s="354">
        <v>1</v>
      </c>
      <c r="B9" s="426" t="s">
        <v>536</v>
      </c>
      <c r="C9" s="354" t="s">
        <v>535</v>
      </c>
      <c r="D9" s="354">
        <v>4</v>
      </c>
      <c r="E9" s="354">
        <v>7</v>
      </c>
      <c r="F9" s="354">
        <v>4</v>
      </c>
      <c r="G9" s="427">
        <v>100</v>
      </c>
    </row>
    <row r="10" spans="1:7" ht="41.25" customHeight="1">
      <c r="A10" s="354">
        <v>2</v>
      </c>
      <c r="B10" s="426" t="s">
        <v>537</v>
      </c>
      <c r="C10" s="48" t="s">
        <v>681</v>
      </c>
      <c r="D10" s="354">
        <v>34</v>
      </c>
      <c r="E10" s="354">
        <v>31</v>
      </c>
      <c r="F10" s="354">
        <v>34</v>
      </c>
      <c r="G10" s="427">
        <v>100</v>
      </c>
    </row>
    <row r="11" spans="1:7" ht="18" customHeight="1">
      <c r="A11" s="260" t="s">
        <v>3</v>
      </c>
      <c r="B11" s="424" t="s">
        <v>294</v>
      </c>
      <c r="C11" s="260"/>
      <c r="D11" s="428"/>
      <c r="E11" s="428"/>
      <c r="F11" s="428"/>
      <c r="G11" s="576"/>
    </row>
    <row r="12" spans="1:7" ht="23.25" customHeight="1">
      <c r="A12" s="354">
        <v>1</v>
      </c>
      <c r="B12" s="426" t="s">
        <v>538</v>
      </c>
      <c r="C12" s="354" t="s">
        <v>295</v>
      </c>
      <c r="D12" s="354">
        <v>9</v>
      </c>
      <c r="E12" s="354">
        <v>8</v>
      </c>
      <c r="F12" s="354">
        <v>10</v>
      </c>
      <c r="G12" s="512">
        <f>F12/D12*100</f>
        <v>111.11111111111111</v>
      </c>
    </row>
    <row r="13" spans="1:7" ht="25.5" customHeight="1">
      <c r="A13" s="429"/>
      <c r="B13" s="426" t="s">
        <v>539</v>
      </c>
      <c r="C13" s="354" t="s">
        <v>295</v>
      </c>
      <c r="D13" s="354">
        <v>2</v>
      </c>
      <c r="E13" s="354">
        <v>1</v>
      </c>
      <c r="F13" s="354">
        <v>1</v>
      </c>
      <c r="G13" s="427">
        <f>F13/D13*100</f>
        <v>50</v>
      </c>
    </row>
    <row r="14" spans="1:7" ht="21" customHeight="1">
      <c r="A14" s="354">
        <v>2</v>
      </c>
      <c r="B14" s="426" t="s">
        <v>540</v>
      </c>
      <c r="C14" s="48" t="s">
        <v>296</v>
      </c>
      <c r="D14" s="354">
        <v>81</v>
      </c>
      <c r="E14" s="354">
        <v>71</v>
      </c>
      <c r="F14" s="354">
        <v>88</v>
      </c>
      <c r="G14" s="512">
        <f aca="true" t="shared" si="0" ref="G14:G25">F14/D14*100</f>
        <v>108.64197530864197</v>
      </c>
    </row>
    <row r="15" spans="1:7" ht="21.75" customHeight="1">
      <c r="A15" s="429"/>
      <c r="B15" s="426" t="s">
        <v>541</v>
      </c>
      <c r="C15" s="354" t="s">
        <v>296</v>
      </c>
      <c r="D15" s="354">
        <v>17</v>
      </c>
      <c r="E15" s="354">
        <v>7</v>
      </c>
      <c r="F15" s="354">
        <v>7</v>
      </c>
      <c r="G15" s="512">
        <f t="shared" si="0"/>
        <v>41.17647058823529</v>
      </c>
    </row>
    <row r="16" spans="1:7" ht="23.25" customHeight="1" hidden="1">
      <c r="A16" s="354"/>
      <c r="B16" s="430" t="s">
        <v>297</v>
      </c>
      <c r="C16" s="431" t="s">
        <v>298</v>
      </c>
      <c r="D16" s="354"/>
      <c r="E16" s="354"/>
      <c r="F16" s="354"/>
      <c r="G16" s="512" t="e">
        <f t="shared" si="0"/>
        <v>#DIV/0!</v>
      </c>
    </row>
    <row r="17" spans="1:7" ht="23.25" customHeight="1" hidden="1">
      <c r="A17" s="354"/>
      <c r="B17" s="432" t="s">
        <v>299</v>
      </c>
      <c r="C17" s="431" t="s">
        <v>298</v>
      </c>
      <c r="D17" s="354"/>
      <c r="E17" s="354"/>
      <c r="F17" s="425"/>
      <c r="G17" s="512" t="e">
        <f t="shared" si="0"/>
        <v>#DIV/0!</v>
      </c>
    </row>
    <row r="18" spans="1:7" ht="23.25" customHeight="1" hidden="1">
      <c r="A18" s="354"/>
      <c r="B18" s="430" t="s">
        <v>300</v>
      </c>
      <c r="C18" s="431" t="s">
        <v>298</v>
      </c>
      <c r="D18" s="354"/>
      <c r="E18" s="354"/>
      <c r="F18" s="425"/>
      <c r="G18" s="512" t="e">
        <f t="shared" si="0"/>
        <v>#DIV/0!</v>
      </c>
    </row>
    <row r="19" spans="1:7" ht="23.25" customHeight="1" hidden="1">
      <c r="A19" s="354"/>
      <c r="B19" s="430" t="s">
        <v>297</v>
      </c>
      <c r="C19" s="431" t="s">
        <v>298</v>
      </c>
      <c r="D19" s="354">
        <v>408</v>
      </c>
      <c r="E19" s="354">
        <v>415</v>
      </c>
      <c r="F19" s="354">
        <v>550</v>
      </c>
      <c r="G19" s="512">
        <f t="shared" si="0"/>
        <v>134.80392156862746</v>
      </c>
    </row>
    <row r="20" spans="1:7" ht="23.25" customHeight="1" hidden="1">
      <c r="A20" s="354"/>
      <c r="B20" s="432" t="s">
        <v>299</v>
      </c>
      <c r="C20" s="431" t="s">
        <v>298</v>
      </c>
      <c r="D20" s="354">
        <v>32</v>
      </c>
      <c r="E20" s="354">
        <v>35</v>
      </c>
      <c r="F20" s="354">
        <v>42.5</v>
      </c>
      <c r="G20" s="512">
        <f t="shared" si="0"/>
        <v>132.8125</v>
      </c>
    </row>
    <row r="21" spans="1:7" ht="24.75" customHeight="1">
      <c r="A21" s="354">
        <v>3</v>
      </c>
      <c r="B21" s="426" t="s">
        <v>542</v>
      </c>
      <c r="C21" s="48" t="s">
        <v>162</v>
      </c>
      <c r="D21" s="354">
        <v>27</v>
      </c>
      <c r="E21" s="354">
        <f>E12*3</f>
        <v>24</v>
      </c>
      <c r="F21" s="354">
        <v>30</v>
      </c>
      <c r="G21" s="512">
        <f t="shared" si="0"/>
        <v>111.11111111111111</v>
      </c>
    </row>
    <row r="22" spans="1:7" ht="22.5" customHeight="1">
      <c r="A22" s="429"/>
      <c r="B22" s="426" t="s">
        <v>544</v>
      </c>
      <c r="C22" s="354" t="s">
        <v>162</v>
      </c>
      <c r="D22" s="354">
        <v>18</v>
      </c>
      <c r="E22" s="354">
        <v>16</v>
      </c>
      <c r="F22" s="354">
        <v>20</v>
      </c>
      <c r="G22" s="512">
        <f t="shared" si="0"/>
        <v>111.11111111111111</v>
      </c>
    </row>
    <row r="23" spans="1:7" ht="23.25" customHeight="1" hidden="1">
      <c r="A23" s="354"/>
      <c r="B23" s="433" t="s">
        <v>301</v>
      </c>
      <c r="C23" s="48" t="s">
        <v>162</v>
      </c>
      <c r="D23" s="425"/>
      <c r="E23" s="354"/>
      <c r="F23" s="354"/>
      <c r="G23" s="512" t="e">
        <f t="shared" si="0"/>
        <v>#DIV/0!</v>
      </c>
    </row>
    <row r="24" spans="1:7" ht="18" customHeight="1">
      <c r="A24" s="354">
        <v>4</v>
      </c>
      <c r="B24" s="426" t="s">
        <v>545</v>
      </c>
      <c r="C24" s="48" t="s">
        <v>162</v>
      </c>
      <c r="D24" s="354">
        <f>D14</f>
        <v>81</v>
      </c>
      <c r="E24" s="354">
        <f>E14</f>
        <v>71</v>
      </c>
      <c r="F24" s="354">
        <f>F14</f>
        <v>88</v>
      </c>
      <c r="G24" s="512">
        <f t="shared" si="0"/>
        <v>108.64197530864197</v>
      </c>
    </row>
    <row r="25" spans="1:7" ht="22.5" customHeight="1">
      <c r="A25" s="429"/>
      <c r="B25" s="426" t="s">
        <v>543</v>
      </c>
      <c r="C25" s="354" t="s">
        <v>162</v>
      </c>
      <c r="D25" s="354">
        <f>D24</f>
        <v>81</v>
      </c>
      <c r="E25" s="354">
        <f>E24</f>
        <v>71</v>
      </c>
      <c r="F25" s="354">
        <f>F24</f>
        <v>88</v>
      </c>
      <c r="G25" s="512">
        <f t="shared" si="0"/>
        <v>108.64197530864197</v>
      </c>
    </row>
    <row r="26" spans="1:7" ht="23.25" customHeight="1" hidden="1">
      <c r="A26" s="354"/>
      <c r="B26" s="430" t="s">
        <v>302</v>
      </c>
      <c r="C26" s="354" t="s">
        <v>298</v>
      </c>
      <c r="D26" s="354">
        <v>27</v>
      </c>
      <c r="E26" s="354">
        <v>32</v>
      </c>
      <c r="F26" s="354">
        <v>42.5</v>
      </c>
      <c r="G26" s="512" t="e">
        <f>#REF!/D26*100</f>
        <v>#REF!</v>
      </c>
    </row>
    <row r="27" spans="1:7" ht="18" customHeight="1">
      <c r="A27" s="260" t="s">
        <v>203</v>
      </c>
      <c r="B27" s="424" t="s">
        <v>303</v>
      </c>
      <c r="C27" s="260"/>
      <c r="D27" s="428"/>
      <c r="E27" s="428"/>
      <c r="F27" s="428"/>
      <c r="G27" s="512"/>
    </row>
    <row r="28" spans="1:7" ht="22.5" customHeight="1">
      <c r="A28" s="354">
        <v>1</v>
      </c>
      <c r="B28" s="426" t="s">
        <v>657</v>
      </c>
      <c r="C28" s="354" t="s">
        <v>186</v>
      </c>
      <c r="D28" s="354">
        <v>919</v>
      </c>
      <c r="E28" s="354">
        <v>928</v>
      </c>
      <c r="F28" s="354">
        <v>930</v>
      </c>
      <c r="G28" s="512">
        <f>F28/D28*100</f>
        <v>101.19695321001088</v>
      </c>
    </row>
    <row r="29" spans="1:7" ht="21.75" customHeight="1">
      <c r="A29" s="354"/>
      <c r="B29" s="432" t="s">
        <v>304</v>
      </c>
      <c r="C29" s="354" t="s">
        <v>186</v>
      </c>
      <c r="D29" s="354">
        <v>76</v>
      </c>
      <c r="E29" s="354">
        <v>50</v>
      </c>
      <c r="F29" s="354">
        <v>30</v>
      </c>
      <c r="G29" s="512">
        <f>F29/D29*100</f>
        <v>39.473684210526315</v>
      </c>
    </row>
    <row r="30" spans="1:7" s="75" customFormat="1" ht="22.5" customHeight="1">
      <c r="A30" s="354">
        <v>2</v>
      </c>
      <c r="B30" s="426" t="s">
        <v>658</v>
      </c>
      <c r="C30" s="354" t="s">
        <v>298</v>
      </c>
      <c r="D30" s="335">
        <v>53760</v>
      </c>
      <c r="E30" s="335">
        <v>47960</v>
      </c>
      <c r="F30" s="720">
        <v>54110</v>
      </c>
      <c r="G30" s="512">
        <f>F30/D30*100</f>
        <v>100.65104166666667</v>
      </c>
    </row>
  </sheetData>
  <sheetProtection/>
  <mergeCells count="9">
    <mergeCell ref="F5:F7"/>
    <mergeCell ref="G5:G7"/>
    <mergeCell ref="A2:G2"/>
    <mergeCell ref="A3:G3"/>
    <mergeCell ref="A5:A7"/>
    <mergeCell ref="B5:B7"/>
    <mergeCell ref="C5:C7"/>
    <mergeCell ref="D5:D7"/>
    <mergeCell ref="E6:E7"/>
  </mergeCells>
  <printOptions/>
  <pageMargins left="0.5" right="0.2" top="0.55" bottom="0.6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VNN.R9</cp:lastModifiedBy>
  <cp:lastPrinted>2020-11-21T02:34:09Z</cp:lastPrinted>
  <dcterms:created xsi:type="dcterms:W3CDTF">1996-10-14T23:33:28Z</dcterms:created>
  <dcterms:modified xsi:type="dcterms:W3CDTF">2020-11-23T01:43:00Z</dcterms:modified>
  <cp:category/>
  <cp:version/>
  <cp:contentType/>
  <cp:contentStatus/>
</cp:coreProperties>
</file>