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15600" windowHeight="11415" activeTab="6"/>
  </bookViews>
  <sheets>
    <sheet name="01" sheetId="1" r:id="rId1"/>
    <sheet name="02" sheetId="2" r:id="rId2"/>
    <sheet name="biểu 03" sheetId="3" r:id="rId3"/>
    <sheet name="Biểu 04" sheetId="4" r:id="rId4"/>
    <sheet name="Biểu 05" sheetId="5" r:id="rId5"/>
    <sheet name="BIỂU 06" sheetId="6" r:id="rId6"/>
    <sheet name="Biểu số 07" sheetId="7" r:id="rId7"/>
    <sheet name="03" sheetId="8" state="hidden" r:id="rId8"/>
    <sheet name="04" sheetId="9" state="hidden" r:id="rId9"/>
  </sheets>
  <externalReferences>
    <externalReference r:id="rId12"/>
    <externalReference r:id="rId13"/>
  </externalReferences>
  <definedNames>
    <definedName name="_xlnm.Print_Area" localSheetId="0">'01'!$A$1:$L$92</definedName>
    <definedName name="_xlnm.Print_Area" localSheetId="1">'02'!$A$1:$I$90</definedName>
    <definedName name="_xlnm.Print_Titles" localSheetId="1">'02'!$5:$6</definedName>
  </definedNames>
  <calcPr fullCalcOnLoad="1"/>
</workbook>
</file>

<file path=xl/comments2.xml><?xml version="1.0" encoding="utf-8"?>
<comments xmlns="http://schemas.openxmlformats.org/spreadsheetml/2006/main">
  <authors>
    <author>VNN.R9</author>
  </authors>
  <commentList>
    <comment ref="E43" authorId="0">
      <text>
        <r>
          <rPr>
            <b/>
            <sz val="9"/>
            <rFont val="Tahoma"/>
            <family val="2"/>
          </rPr>
          <t>VNN.R9:</t>
        </r>
        <r>
          <rPr>
            <sz val="9"/>
            <rFont val="Tahoma"/>
            <family val="2"/>
          </rPr>
          <t xml:space="preserve">
+ thêm phần chi trả các khoản thu nhầm, chi thừa</t>
        </r>
      </text>
    </comment>
  </commentList>
</comments>
</file>

<file path=xl/sharedStrings.xml><?xml version="1.0" encoding="utf-8"?>
<sst xmlns="http://schemas.openxmlformats.org/spreadsheetml/2006/main" count="822" uniqueCount="366">
  <si>
    <t>CHƯƠNG TRÌNH MỤC TIÊU TÁI CƠ CẤU KINH TẾ NÔNG NGHIỆP VÀ PHÒNG CHỐNG GIẢM NHẸ THIÊN TAI, ỔN ĐỊNH ĐỜI SỐNG DÂN CƯ</t>
  </si>
  <si>
    <t>GHI THU, CHI VỐN VIỆN TRỢ</t>
  </si>
  <si>
    <t>CHƯƠNG TRÌNH MỤC TIÊU HỖ TRỢ PHÁT TRIỂN HỆ THỐNG TRỢ GIÚP XÃ HỘI VÀ CHƯƠNG TRÌNH MỤC TIÊU GIÁO DỤC DẠY NGHỀ - VIỆC LÀM VÀ AN TOÀN LAO ĐỘNG</t>
  </si>
  <si>
    <t>Chi phí Ban chỉ đạo</t>
  </si>
  <si>
    <t>Tiểu dự án 1: Hỗ trợ đầu tư cơ sở hạ tầng các huyện nghèo (duy tu, bảo dưỡng)</t>
  </si>
  <si>
    <t>Tiểu dự án 3: Hỗ trợ phát triển sản xuất, đa dạng hóa sinh kế và nhân rộng mô hình giảm nghèo</t>
  </si>
  <si>
    <t>Tiểu dự án 4: Hỗ trợ lao động thuộc hộ nghèo, hộ cận nghèo, hộ đồng bào DTTS đi làm việc có thời hạn ở nước ngoài</t>
  </si>
  <si>
    <t>STT</t>
  </si>
  <si>
    <t>NỘI DUNG</t>
  </si>
  <si>
    <t xml:space="preserve">Dự toán năm </t>
  </si>
  <si>
    <t>A</t>
  </si>
  <si>
    <t>B</t>
  </si>
  <si>
    <t>I</t>
  </si>
  <si>
    <t>Thu nội địa</t>
  </si>
  <si>
    <t>Thu viện trợ</t>
  </si>
  <si>
    <t>II</t>
  </si>
  <si>
    <t>Chi thường xuyên</t>
  </si>
  <si>
    <t>III</t>
  </si>
  <si>
    <t>TỔNG THU NSNN TRÊN ĐỊA BÀN</t>
  </si>
  <si>
    <t>Thu từ khu vực doanh nghiệp nhà nước</t>
  </si>
  <si>
    <t>Thu từ khu vực doanh nghiệp có vốn đầu tư nước ngoài</t>
  </si>
  <si>
    <t>Thu từ khu vực kinh tế ngoài quốc doanh</t>
  </si>
  <si>
    <t>Thuế thu nhập cá nhân</t>
  </si>
  <si>
    <t>Thuế bảo vệ môi trường</t>
  </si>
  <si>
    <t>Lệ phí trước bạ</t>
  </si>
  <si>
    <t>Thu phí, lệ phí</t>
  </si>
  <si>
    <t>Các khoản thu về nhà, đất</t>
  </si>
  <si>
    <t>-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</si>
  <si>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</si>
  <si>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</si>
  <si>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</si>
  <si>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</si>
  <si>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Tiền cho thuê và tiền bán nhà ở thuộc sở hữu nhà nước</t>
  </si>
  <si>
    <t>Thu từ hoạt động xổ số kiến thiết</t>
  </si>
  <si>
    <t>Thu khác ngân sách</t>
  </si>
  <si>
    <t>Thu từ quỹ đất công ích, hoa lợi công sản khác</t>
  </si>
  <si>
    <t xml:space="preserve">THU NGÂN SÁCH HUYỆN ĐƯỢC HƯỞNG THEO PHÂN CẤP </t>
  </si>
  <si>
    <t>Từ các khoản thu phân chia</t>
  </si>
  <si>
    <t>Các khoản thu ngân sách huyện được hưởng 100%</t>
  </si>
  <si>
    <t>Ước thực hiện 6 tháng năm 2017</t>
  </si>
  <si>
    <t>Thu cấp quyền khai thác khoáng sản</t>
  </si>
  <si>
    <t>Thu phạt ATGT</t>
  </si>
  <si>
    <t>Các khoản khác</t>
  </si>
  <si>
    <t>Chi quốc phòng</t>
  </si>
  <si>
    <t>Chi an ninh</t>
  </si>
  <si>
    <t>Chi sự nghiệp môi trường</t>
  </si>
  <si>
    <t xml:space="preserve"> (Kèm theo Quyết định số       /QĐ-UBND ngày 18/8/2017 của UBND huyện Tuần Giáo)</t>
  </si>
  <si>
    <t xml:space="preserve"> -</t>
  </si>
  <si>
    <t>2.1</t>
  </si>
  <si>
    <t>1.1</t>
  </si>
  <si>
    <t>1.2</t>
  </si>
  <si>
    <t>2.2</t>
  </si>
  <si>
    <t>2.4</t>
  </si>
  <si>
    <t>2.5</t>
  </si>
  <si>
    <t>2.6</t>
  </si>
  <si>
    <t>Thu ngân sách huyện hưởng</t>
  </si>
  <si>
    <t>Thu bổ sung từ ngân sách cấp trên</t>
  </si>
  <si>
    <t>Thuế thu nhập doanh nghiệp</t>
  </si>
  <si>
    <t>Thuế tài nguyên</t>
  </si>
  <si>
    <t>Thu ngân sách trung ương hưởng</t>
  </si>
  <si>
    <t>CHI CÂN ĐỐI NGÂN SÁCH</t>
  </si>
  <si>
    <t>Thu ngân sách tỉnh hưởng</t>
  </si>
  <si>
    <t>Biểu số 94/CK-NSNN</t>
  </si>
  <si>
    <t>ƯỚC THỰC HIỆN THU NGÂN SÁCH NHÀ NƯỚC 06 THÁNG NĂM 2018</t>
  </si>
  <si>
    <t>THU NSNN TRÊN ĐỊA BÀN</t>
  </si>
  <si>
    <t>Thuế giá trị gia tăng</t>
  </si>
  <si>
    <t xml:space="preserve"> Bổ sung CTMTQG</t>
  </si>
  <si>
    <t xml:space="preserve"> Bổ sung mục tiêu, nhiệm vụ khác</t>
  </si>
  <si>
    <t>Dự toán HĐND huyện giao</t>
  </si>
  <si>
    <t>Thu ngân sách xã hưởng</t>
  </si>
  <si>
    <t>Thu chuyển nguồn ngân sách</t>
  </si>
  <si>
    <t>Thu ngân sách huyện, xã hưởng</t>
  </si>
  <si>
    <t>Đơn vị tính: Đồng</t>
  </si>
  <si>
    <t xml:space="preserve"> +</t>
  </si>
  <si>
    <t>1.1.1</t>
  </si>
  <si>
    <t>1.1.2</t>
  </si>
  <si>
    <t>1.2.2</t>
  </si>
  <si>
    <t>1.2.3</t>
  </si>
  <si>
    <t>1.2.4</t>
  </si>
  <si>
    <t>CHI THỰC HIỆN MỤC TIÊU, NHIỆM VỤ KHÁC</t>
  </si>
  <si>
    <t>Chương trình mục tiêu tái cơ cấu kinh tế nông nghiệp và phòng chống giảm nhẹ thiên tai, ổn định đời sống dân cư</t>
  </si>
  <si>
    <t>Chương trình mục tiêu trợ giúp xã hội</t>
  </si>
  <si>
    <t>Chương trình mục tiêu Giáo dục nghề nghiệp - việc làm và an toàn lao động</t>
  </si>
  <si>
    <t xml:space="preserve"> Tiểu dự án 1: Hỗ trợ đầu tư cơ sở hạ tầng cho các xã ĐBKK, xã biên giới; các thôn bản ĐBKK (duy tu, bảo dưỡng)</t>
  </si>
  <si>
    <t>Tiểu dự án 2: Hỗ trợ phát triển sản xuất, đa dạng hóa sinh kế và nhân rộng mô hình giảm nghèo các xã ĐBKK, xã biên giới; các thôn, bản ĐBKK</t>
  </si>
  <si>
    <t>CHI CHƯƠNG TRÌNH MỤC TIÊU QUỐC GIA</t>
  </si>
  <si>
    <t>Chi sự nghiệp khoa học và công nghệ</t>
  </si>
  <si>
    <t>Chi sự nghiệp kinh tế</t>
  </si>
  <si>
    <t>Chi đảm bảo xã hội</t>
  </si>
  <si>
    <t>VỐN ĐẦU TƯ</t>
  </si>
  <si>
    <t>CHƯƠNG TRÌNH GIẢM NGHÈO BỀN VỮNG</t>
  </si>
  <si>
    <t>CHƯƠNG TRÌNH 30A</t>
  </si>
  <si>
    <t>Đầu tư cơ sở hạ tầng</t>
  </si>
  <si>
    <t>CHƯƠNG TRÌNH 135</t>
  </si>
  <si>
    <t>VỐN SỰ NGHIỆP</t>
  </si>
  <si>
    <t>DỰ ÁN 1: CHƯƠNG TRÌNH 30A</t>
  </si>
  <si>
    <t>DỰ ÁN 2: CHƯƠNG TRÌNH 135</t>
  </si>
  <si>
    <t>DỰ ÁN 4: TRUYỀN THÔNG VÀ GIẢM NGHÈO VỀ THÔNG TIN</t>
  </si>
  <si>
    <t>DỰ ÁN 5: NÂNG CAO NĂNG LỰC VÀ GIÁM SÁT, ĐÁNH GIÁ THỰC HIỆN CHƯƠNG TRÌNH</t>
  </si>
  <si>
    <t>CHƯƠNG TRÌNH XÂY DỰNG NÔNG THÔN MỚI</t>
  </si>
  <si>
    <t>BỔ SUNG MỤC TIÊU (VỐN ĐẦU TƯ)</t>
  </si>
  <si>
    <t>CHI ĐẦU TƯ PHÁT TRIỂN</t>
  </si>
  <si>
    <t>BỔ SUNG MỤC TIÊU (VỐN SỰ NGHIỆP)</t>
  </si>
  <si>
    <t>CHƯƠNG TRÌNH ĐẢM BẢO TRẬT TỰ ATGT, PHÒNG CHÁY CHỮA CHÁY, PHÒNG CHỐNG TỘI PHẠM VÀ MA TUÝ</t>
  </si>
  <si>
    <t>Phòng chống ma tuý</t>
  </si>
  <si>
    <t>Phòng chống tội phạm</t>
  </si>
  <si>
    <t>Hỗ trợ trực tiếp cho các xã, bao gồm: Kinh phí hỗ trợ dự án phát triển sản xuất liên kết theo chuỗi giá trị, gắn sản xuất với tiêu thụ sản phẩm; chi hỗ trợ xây dựng nhà tiêu hợp vệ sinh; chi hỗ trợ xây dựng chuồng trại chăn nuôi hợp vệ sinh; chi hỗ trợ xây dựng hố rác để tự phân loại và xử lý chất thải rắn tại gia đình</t>
  </si>
  <si>
    <t>Tên đơn vị</t>
  </si>
  <si>
    <t>Tổng số</t>
  </si>
  <si>
    <t>Bao gồm</t>
  </si>
  <si>
    <t>Thu địa bàn cân đối NS</t>
  </si>
  <si>
    <t>UBND Thị trấn Tủa chùa</t>
  </si>
  <si>
    <t>UBND xã Mường Báng</t>
  </si>
  <si>
    <t>UBND xã Xá Nhè</t>
  </si>
  <si>
    <t>UBND xã Mường Đun</t>
  </si>
  <si>
    <t>UBND xã Tủa Thàng</t>
  </si>
  <si>
    <t>UBND xã Huổi Só</t>
  </si>
  <si>
    <t>UBND xã Sín Chải</t>
  </si>
  <si>
    <t>UBND xã Tả Sìn Thàng</t>
  </si>
  <si>
    <t>UBND xã Tả Phìn</t>
  </si>
  <si>
    <t>UBND xã Lao Xả Phình</t>
  </si>
  <si>
    <t>UBND xã Trung Thu</t>
  </si>
  <si>
    <t>UBND xã Sính Phình</t>
  </si>
  <si>
    <t>Ước thực hiện 6 tháng</t>
  </si>
  <si>
    <t>Thu trên địa bàn</t>
  </si>
  <si>
    <t>Bổ sung vốn vay nợ nước ngoài</t>
  </si>
  <si>
    <t>Thu từ khu vực CTN, dịch vụ ngoài quốc doanh</t>
  </si>
  <si>
    <t>Chi quản lý hành chính</t>
  </si>
  <si>
    <t>Các khoản chi cân đối</t>
  </si>
  <si>
    <t>Chi chương trình mục tiêu</t>
  </si>
  <si>
    <t>Biểu số: 03</t>
  </si>
  <si>
    <t>Đầu tư từ nguồn thu sử dụng đất</t>
  </si>
  <si>
    <t>Chi từ nguồn tăng thu trên địa bàn</t>
  </si>
  <si>
    <t>Thuế giá trị gia tăng (tỉnh hưởng)</t>
  </si>
  <si>
    <t>ƯỚC THỰC HIỆN THU NGÂN SÁCH NHÀ NƯỚC 06 THÁNG NĂM 2020</t>
  </si>
  <si>
    <t>(kèm theo Báo cáo số             /BC-UBND ngày            tháng 6 năm 2020 của UBND huyện Tủa Chùa)</t>
  </si>
  <si>
    <t>CHƯƠNG TRÌNH MỤC TIÊU PHÁT TRIỂN VĂN HÓA</t>
  </si>
  <si>
    <t>Hỗ trợ các đơn vị (Chi cục thi hành án; Phòng giao dịch Ngân hàng CSXH)</t>
  </si>
  <si>
    <t>Dự toán năm 2020</t>
  </si>
  <si>
    <t>Thực hiện 5 tháng</t>
  </si>
  <si>
    <t>Thu từ tiền sử dụng đất</t>
  </si>
  <si>
    <t>Biểu số: 04</t>
  </si>
  <si>
    <t>ƯỚC THỰC HIỆN CHI NGÂN SÁCH NHÀ NƯỚC 06 THÁNG NĂM 2020</t>
  </si>
  <si>
    <t>So sánh (%) Ước TH</t>
  </si>
  <si>
    <t>10=4/1</t>
  </si>
  <si>
    <t>11=5/2</t>
  </si>
  <si>
    <t>12=6/3</t>
  </si>
  <si>
    <t>13=7/1</t>
  </si>
  <si>
    <t>14=8/2</t>
  </si>
  <si>
    <t>15=9/3</t>
  </si>
  <si>
    <t>So sánh (%) Thực hiện</t>
  </si>
  <si>
    <t>So sánh (%) ước thực hiện</t>
  </si>
  <si>
    <t>Dự toán HĐND 
huyện giao</t>
  </si>
  <si>
    <t xml:space="preserve">+ </t>
  </si>
  <si>
    <t>IV</t>
  </si>
  <si>
    <t>Thu từ ngân sách cấp dưới nộp lên</t>
  </si>
  <si>
    <t>Dự toán tỉnh giao</t>
  </si>
  <si>
    <t>Trong đó: thu từ đấu giá đất</t>
  </si>
  <si>
    <t>Thực hiện/ huyện giao</t>
  </si>
  <si>
    <t>TỔNG CHI NGÂN SÁCH ĐỊA PHƯƠNG</t>
  </si>
  <si>
    <t>Ngân sách Tỉnh hưởng</t>
  </si>
  <si>
    <t>Ngân sách Huyện hưởng</t>
  </si>
  <si>
    <t>Ngân sách Xã hưởng (thu từ đấu giá đất)</t>
  </si>
  <si>
    <t>V</t>
  </si>
  <si>
    <t>Thu kết dư ngân sách</t>
  </si>
  <si>
    <t>Chương trình phát triển Lâm nghiệp bền vững</t>
  </si>
  <si>
    <t xml:space="preserve">- </t>
  </si>
  <si>
    <t>Ngân sách huyện hưởng</t>
  </si>
  <si>
    <t xml:space="preserve">Ngân sách xã hưởng </t>
  </si>
  <si>
    <t>Ngân sách xã hưởng</t>
  </si>
  <si>
    <t>Thu bổ sung cân đối</t>
  </si>
  <si>
    <t>Thu bổ sung có mục tiêu, nhiệm vụ khác</t>
  </si>
  <si>
    <t>+</t>
  </si>
  <si>
    <t>Ngân sách Trung ương hưởng</t>
  </si>
  <si>
    <t>THU NGÂN SÁCH ĐP HƯỞNG THEO PHÂN CẤP</t>
  </si>
  <si>
    <t>THU NGÂN SÁCH NHÀ NƯỚC</t>
  </si>
  <si>
    <t>Ngân sách TW hưởng</t>
  </si>
  <si>
    <t>Chi đầu tư XDCB vốn trong nước</t>
  </si>
  <si>
    <t xml:space="preserve">Sự nghiệp giáo dục </t>
  </si>
  <si>
    <t>Sự nghiệp đào tạo và dạy nghề</t>
  </si>
  <si>
    <t xml:space="preserve"> - Trung tâm BDCT huyện</t>
  </si>
  <si>
    <t xml:space="preserve"> - Trung tâm GDNN - GDTX</t>
  </si>
  <si>
    <t>Trung tâm Văn hóa - Truyền thanh - Truyền hình</t>
  </si>
  <si>
    <t>Sự nghiệp giao thông</t>
  </si>
  <si>
    <t>Vốn bảo trì công trình đường bộ</t>
  </si>
  <si>
    <t>Sự nghiệp thủy lợi nước sinh hoạt</t>
  </si>
  <si>
    <t>Sự nghiệp kinh tế khác</t>
  </si>
  <si>
    <t xml:space="preserve"> - Trung tâm QLĐĐ</t>
  </si>
  <si>
    <t xml:space="preserve"> - Kiến thiết thị chính</t>
  </si>
  <si>
    <t xml:space="preserve"> - Nhà khách UBND huyện</t>
  </si>
  <si>
    <t xml:space="preserve"> - Hoạt động PT KT - XH</t>
  </si>
  <si>
    <t>Quản lý Nhà nước</t>
  </si>
  <si>
    <t>Ngân sách Đảng</t>
  </si>
  <si>
    <t>Ban QLDA các công trình huyện</t>
  </si>
  <si>
    <t>Kinh phí thực hiện đảm bảo trật tự ATGT</t>
  </si>
  <si>
    <t xml:space="preserve"> + Hỗ trợ phát triển lâm nghiệp</t>
  </si>
  <si>
    <t xml:space="preserve"> + Chính sách bảo vệ và PT đất trồng lúa</t>
  </si>
  <si>
    <t xml:space="preserve"> + Hỗ trợ SXNN</t>
  </si>
  <si>
    <t xml:space="preserve"> - Trung tâm học tập cộng đồng</t>
  </si>
  <si>
    <t>Huyện ủy</t>
  </si>
  <si>
    <t>Biểu số 01</t>
  </si>
  <si>
    <t>TH THÁNG 3/2020</t>
  </si>
  <si>
    <t>Dự toán năm 2021</t>
  </si>
  <si>
    <t>TÌNH HÌNH THU NGÂN SÁCH CỦA CÁC ĐƠN VỊ, UBND CÁC XÃ, THỊ TRẤN NĂM 2021</t>
  </si>
  <si>
    <t>TT</t>
  </si>
  <si>
    <t>NỘI DUNG</t>
  </si>
  <si>
    <t>DỰ TOÁN GIAO</t>
  </si>
  <si>
    <t>Tỷ lệ TH/DT</t>
  </si>
  <si>
    <t xml:space="preserve">Phòng Tài chính - Kế hoạch </t>
  </si>
  <si>
    <t xml:space="preserve">Phòng Kinh tế và Hạ tầng </t>
  </si>
  <si>
    <t>Lệ phí xây dựng</t>
  </si>
  <si>
    <t>Trung tâm Văn hóa - Truyền thanh - Truyền hình</t>
  </si>
  <si>
    <t>Thuê nhà thi đấu</t>
  </si>
  <si>
    <t>Thuê nhà hội trường</t>
  </si>
  <si>
    <t xml:space="preserve">Các khoản phí </t>
  </si>
  <si>
    <t>Trung tâm Quản lý đất đai</t>
  </si>
  <si>
    <t>Thu cấp quyền sử dụng đất trên địa bàn các xã</t>
  </si>
  <si>
    <t>Công an huyện</t>
  </si>
  <si>
    <t>Phí an toàn giao thông</t>
  </si>
  <si>
    <t>UBND Thị trấn</t>
  </si>
  <si>
    <t>Các khoản phí, lệ phí, lệ phí môn bài, thu khác</t>
  </si>
  <si>
    <t>TỔNG CỘNG</t>
  </si>
  <si>
    <t>So sánh (%) TH</t>
  </si>
  <si>
    <t>7=4/1</t>
  </si>
  <si>
    <t>8=5/2</t>
  </si>
  <si>
    <t>9=6/3</t>
  </si>
  <si>
    <t>Tỷ lệ so sánh</t>
  </si>
  <si>
    <t>2.8.1</t>
  </si>
  <si>
    <t>Trung tâm dịch vụ Nông nghiệp</t>
  </si>
  <si>
    <t>Phòng Nông nghiệp và PTNT</t>
  </si>
  <si>
    <t>2.8.2</t>
  </si>
  <si>
    <t>2.8.3</t>
  </si>
  <si>
    <t>2.8.4</t>
  </si>
  <si>
    <t>2.8.5</t>
  </si>
  <si>
    <t>Dự phòng ngân sách (không cộng lên tổng số TH)</t>
  </si>
  <si>
    <t>TH/DT</t>
  </si>
  <si>
    <t>Sự nghiệp nông nghiệp</t>
  </si>
  <si>
    <t>Khối Đoàn thể</t>
  </si>
  <si>
    <t>Thực hiện đến 31//5/2021</t>
  </si>
  <si>
    <t>Thực hiện 31/5/2020</t>
  </si>
  <si>
    <t>Thực hiện đến 31/5/2021</t>
  </si>
  <si>
    <t xml:space="preserve">Thực hiện 31/5/2020 </t>
  </si>
  <si>
    <t>Chi khác ngân sách (không cộng lên tổng số TH)</t>
  </si>
  <si>
    <t>Thực hiện đến hết ngày 31/5/2021</t>
  </si>
  <si>
    <t>Thực hiện đến ngày 31/5/2021</t>
  </si>
  <si>
    <t>Biểu số 03</t>
  </si>
  <si>
    <t>Thực hiện đến ngày 31/05/2021</t>
  </si>
  <si>
    <t>Biểu số 04</t>
  </si>
  <si>
    <t xml:space="preserve">Ước thực hiện 6 tháng đầu năm 2021 </t>
  </si>
  <si>
    <t>Thực hiện/Tỉnh giao</t>
  </si>
  <si>
    <t>So sánh (%)</t>
  </si>
  <si>
    <t>Tỷ lệ ước thực hiện30/6 so với dự toán giao</t>
  </si>
  <si>
    <t>Ước TH/Cùng kỳ 2020</t>
  </si>
  <si>
    <t>5=3/1</t>
  </si>
  <si>
    <t>6=4/1</t>
  </si>
  <si>
    <t>7=4/2</t>
  </si>
  <si>
    <t>8=5/1</t>
  </si>
  <si>
    <t>9=5/2</t>
  </si>
  <si>
    <t>10=5/3</t>
  </si>
  <si>
    <t>ƯỚC THỰC HIỆN THU NGÂN SÁCH NHÀ NƯỚC 06 THÁNG NĂM 2021</t>
  </si>
  <si>
    <t xml:space="preserve">Tỷ lệ thực hiện 31/5 so với dự toán giao </t>
  </si>
  <si>
    <t>ƯTH/
Năm trước</t>
  </si>
  <si>
    <t>ƯTH/DT</t>
  </si>
  <si>
    <t>ƯỚC THỰC HIỆN CHI NGÂN SÁCH ĐỊA PHƯƠNG 06 THÁNG NĂM 2021</t>
  </si>
  <si>
    <t>Ước thực hiện 6 tháng đầu năm 2021</t>
  </si>
  <si>
    <t>Chi sự nghiệp Giáo dục - Đào tạo và dạy nghề</t>
  </si>
  <si>
    <t>Chi sự nghiệp xã hội</t>
  </si>
  <si>
    <t>Ước thực hiện đến 30/6/2021</t>
  </si>
  <si>
    <t>ƯỚC THỰC HIỆN THU NGÂN SÁCH NHÀ NƯỚC 06 THÁNG NĂM 2021 CỦA UBND CÁC XÃ, THỊ TRẤN</t>
  </si>
  <si>
    <t>Các khoản chi bổ sung có mục tiêu</t>
  </si>
  <si>
    <t xml:space="preserve">Ước thực hiện đến 30/6/2021 </t>
  </si>
  <si>
    <t>Tỷ lệ ƯTH/DT</t>
  </si>
  <si>
    <t>ƯỚC THỰC HIỆN CHI NGÂN SÁCH ĐỊA PHƯƠNG 06 THÁNG NĂM 2021 CỦA UBND CÁC XÃ, THỊ TRẤN</t>
  </si>
  <si>
    <t>CÔNG TRÌNH, DỰ ÁN  HOÀN THÀNH TRÊN ĐỊA BÀN HUYỆN CHƯA GỬI HỒ SƠ QUYẾT TOÁN</t>
  </si>
  <si>
    <t>Đơn vị tính: Triệu đồng</t>
  </si>
  <si>
    <t>Tên dự án, công trình (HMCT) hoàn thành</t>
  </si>
  <si>
    <t>Số 
dự án</t>
  </si>
  <si>
    <t>Thời gian khởi công</t>
  </si>
  <si>
    <t>Thời gian hoàn thành</t>
  </si>
  <si>
    <t>Chủ đầu tư thực hiện dự án</t>
  </si>
  <si>
    <t>Tổng mức đầu tư được phê duyệt</t>
  </si>
  <si>
    <t>Lũy kế vốn đã cấp phát, thanh toán</t>
  </si>
  <si>
    <t>Chậm phê duyệt quyết toán</t>
  </si>
  <si>
    <t xml:space="preserve">Ghi chú
</t>
  </si>
  <si>
    <t>Chậm dưới 24 tháng</t>
  </si>
  <si>
    <t>Chậm trên 24 tháng</t>
  </si>
  <si>
    <t>TỔNG SỐ</t>
  </si>
  <si>
    <t xml:space="preserve">Các dự án thuộc thẩm quyền phê duyệt quyết toán của cấp tỉnh </t>
  </si>
  <si>
    <t>Đường Củ Dỉ Sang (xã Tả Sìn Thàng) - Lầu Câu Phình (xã Lao Xả Phình), huyện Tủa Chùa</t>
  </si>
  <si>
    <t>2017</t>
  </si>
  <si>
    <t>2020</t>
  </si>
  <si>
    <t>X</t>
  </si>
  <si>
    <t>Các dự án thuộc thẩm quyền phê duyệt quyết toán của cấp huyện</t>
  </si>
  <si>
    <t>Nâng cấp, cải tạo sân văn hóa truyền thống xã Xá Nhè</t>
  </si>
  <si>
    <t>Các dự án thuộc thẩm quyền phê duyệt quyết toán của cấp xã</t>
  </si>
  <si>
    <t>Tuyến đường từ trung tâm xã đến thôn 1, xã Lao Xả Phình</t>
  </si>
  <si>
    <t>18/9/2018</t>
  </si>
  <si>
    <t>25/12/2019</t>
  </si>
  <si>
    <t>18/9/2018 -25/12/2019</t>
  </si>
  <si>
    <t>Bê tông hóa đường trục thôn Tà Dê tuyến đường chinh - Nhà ông Giàng A Lỳ, xã Tả Phìn</t>
  </si>
  <si>
    <t>2018</t>
  </si>
  <si>
    <t>Nhà lớp học mầm non thôn Tủa Chử Phùng, xã Tả Phìn</t>
  </si>
  <si>
    <t>55 ngày 10/7/2018</t>
  </si>
  <si>
    <t>Đường trục thôn từ đường Chính vào thôn Háng Sung 2, xã Tả Phìn</t>
  </si>
  <si>
    <t>Nhà Văn hóa thôn Háng Sung 1, xã Tả Phìn</t>
  </si>
  <si>
    <t>Nhà Văn hóa thôn Tà Dê, xã Tả Phìn</t>
  </si>
  <si>
    <t>2019</t>
  </si>
  <si>
    <t>17/8/2018</t>
  </si>
  <si>
    <t>Đường ngõ xóm từ nhà ông Cở đến nhà ông Sinh, xã Huổi Só</t>
  </si>
  <si>
    <t xml:space="preserve">Đường nội đồng thôn Làng Vùa 2 tuyến nhà ông Phừ - cánh đồng Háng Á nhà ông Súa, xã Tủa Thàng </t>
  </si>
  <si>
    <t>30/10/2018</t>
  </si>
  <si>
    <t>Bê tông hóa đường nội thôn Háng Pàng tuyến nhà Bà Hoa - Nhà ông Chu, xã Huổi Só</t>
  </si>
  <si>
    <t>Đường giao thông Đở Khó Pàng đi Tà Mông Sua, xã Sín Chải</t>
  </si>
  <si>
    <t>Đường dân sinh thôn Cáng Chua, xã Sín Chải</t>
  </si>
  <si>
    <t xml:space="preserve">Đường nội đồng thôn Háng Sung 1 tuyến Nhà ông Thào A Sang - Chớ Tính, xã Tả Phìn </t>
  </si>
  <si>
    <t xml:space="preserve">Nhà văn hóa thôn Háng Sung 2, xã Tả Phìn </t>
  </si>
  <si>
    <t>Nhà Văn hóa Bản Loọng Phạ, xã Mường Đun</t>
  </si>
  <si>
    <t>18/3/2019</t>
  </si>
  <si>
    <t>Nhà Văn hóa bản Kép, xã Mường Đun</t>
  </si>
  <si>
    <t>19/3/2019</t>
  </si>
  <si>
    <t>Đường nội thôn Bản Đun từ nhà ông Viên đến nhà ông Thín, xã Mường Đun</t>
  </si>
  <si>
    <t>Thuỷ lợi đầu nguồn Háng Chu - Nhà ông Hạng A Giao (Đề Tâu), xã Mường Đun</t>
  </si>
  <si>
    <t>31/10/2018</t>
  </si>
  <si>
    <t>Thủy nông nối Mương Mẹo - Thẳm Đán (Bản Kép), xã Mường Đun</t>
  </si>
  <si>
    <t>Đường giao thông từ ngã ba Làng Vùa 2 đi Làng Vùa 1, xã Tủa Thàng</t>
  </si>
  <si>
    <t>Nhà Văn Hóa thôn Phi Giàng 2, xã Tủa Thàng</t>
  </si>
  <si>
    <t>17/3/2019</t>
  </si>
  <si>
    <t>Nhà văn hóa thôn Tủa Thàng</t>
  </si>
  <si>
    <t>Bê tông hoá đường nội thôn thôn 2 từ nhà ông Dánh đến nhà ông Lý A Binh, xã Huổi Só</t>
  </si>
  <si>
    <t>Nhà Văn hóa thôn Tù Cha, xã Huổi Só</t>
  </si>
  <si>
    <t>29/4/2019</t>
  </si>
  <si>
    <t>Nhà văn hóa thôn Huổi Ca, xã Huổi Só</t>
  </si>
  <si>
    <t>Đường ngõ xóm từ nhà ông Cỏng đến nhà ông Cở, xã Huổi Só</t>
  </si>
  <si>
    <t>Nhà văn hoá thôn Háng Khúa, xã Sín Chải</t>
  </si>
  <si>
    <t>13/3/2019</t>
  </si>
  <si>
    <t>Nhà Văn hóa thôn Trung Gầu Bua, xã Sín Chải</t>
  </si>
  <si>
    <t>Đường Khó Trò Tổng đến Ngã ba nhà ông Giàng A Thanh thôn Sín Chải, xã Sín Chải</t>
  </si>
  <si>
    <t>Đường nội thôn Chế Cu Nhe, xã Sín Chải</t>
  </si>
  <si>
    <t>Đường trục thôn từ thôn Tà Chinh đến thôn Háng Súa, xã Tả Sìn Thàng</t>
  </si>
  <si>
    <t>Đường nội thôn Khó Sầu đến Háng Sung 2, xã Tả Phìn</t>
  </si>
  <si>
    <t>Đường giao thông Háng Tàu - Phiêng Páng, xã Sính Phình</t>
  </si>
  <si>
    <t>Đường giao thông nội thôn thôn Háng Pàng, xã Huổi Só</t>
  </si>
  <si>
    <t>Đường giao thông (thôn Háng Sung 2) xuống cánh đồng Chiếu Tính, xã Tả Phìn</t>
  </si>
  <si>
    <t>Tuyến đường từ ngã 3 Páo Tỉnh Làng 2 đi Páo Tỉnh Làng 1, xã Tả Sìn Thàng</t>
  </si>
  <si>
    <t>Tuyến đường Tà Dung đi Chiếu Tính, xã Tả Phìn</t>
  </si>
  <si>
    <t>Tuyến đường từ ngã 3 Sính Phình đi thôn Dê Giàng, xã Sính Phình</t>
  </si>
  <si>
    <t>(Kèm theo Báo cáo số 155a /BC-UBND ngày 31 /5/2021 của UBND huyện Tủa Chùa)</t>
  </si>
  <si>
    <t>Nội dung</t>
  </si>
  <si>
    <t>Dự toán phân bổ</t>
  </si>
  <si>
    <t>Thực hiện giải ngân</t>
  </si>
  <si>
    <t>Tỷ lệ (%) TH/DT</t>
  </si>
  <si>
    <t>Ghi chú</t>
  </si>
  <si>
    <t>Ban Quản lý dự án các công trình</t>
  </si>
  <si>
    <t>Trường Mầm non thị trấn Tủa Chùa (giai đoạn 2)</t>
  </si>
  <si>
    <t>0</t>
  </si>
  <si>
    <t>Nâng cấp tuyến đường Tả Huổi Tráng - Đề Chu, xã Tủa Thàng, huyện Tủa Chùa</t>
  </si>
  <si>
    <t>Khu xử lý chất thải rắn xã Mường Báng, huyện Tủa Chùa</t>
  </si>
  <si>
    <t>Sân vận động thị trấn Tủa Chùa</t>
  </si>
  <si>
    <t>Phòng Kinh tế và Hạ tầng</t>
  </si>
  <si>
    <t>Điều chỉnh quy hoạch chung thị trấn Tủa Chùa</t>
  </si>
  <si>
    <t>Quy hoạch chi tiết xây dựng tỷ lệ 1/500 khu trung tâm xã Huổi Só</t>
  </si>
  <si>
    <t>Hỗ trợ người có công cách mạng về nhà ở</t>
  </si>
  <si>
    <t>Quy hoạch chi tiết xây dựng tỷ lệ 1/500 khu trung tâm xã Mường Báng</t>
  </si>
  <si>
    <t>Biểu số 06</t>
  </si>
  <si>
    <t>Biểu số 07</t>
  </si>
  <si>
    <t xml:space="preserve">TÌNH HÌNH GIẢI NGÂN NGUỒN VỐN CHI ĐẦU TƯ XÂY DỰNG CƠ BẢN VỐN TRONG NƯỚC 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</si>
</sst>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(* #,##0.0_);_(* \(#,##0.0\);_(* &quot;-&quot;?_);_(@_)"/>
    <numFmt numFmtId="180" formatCode="0.0%"/>
    <numFmt numFmtId="181" formatCode="#,##0.0"/>
    <numFmt numFmtId="182" formatCode="_-* #,##0.0\ _₫_-;\-* #,##0.0\ _₫_-;_-* &quot;-&quot;?\ _₫_-;_-@_-"/>
    <numFmt numFmtId="183" formatCode="_(* #,##0.000_);_(* \(#,##0.000\);_(* &quot;-&quot;??_);_(@_)"/>
    <numFmt numFmtId="184" formatCode="0.000%"/>
    <numFmt numFmtId="185" formatCode="0.0000%"/>
    <numFmt numFmtId="186" formatCode="_(* #,##0_);_(* \(#,##0\);_(* &quot;-&quot;??_);_(@_)"/>
    <numFmt numFmtId="187" formatCode="_-* #,##0\ _₫_-;\-* #,##0\ _₫_-;_-* &quot;-&quot;?\ _₫_-;_-@_-"/>
    <numFmt numFmtId="188" formatCode="_-* #,##0\ _₫_-;\-* #,##0\ _₫_-;_-* &quot;-&quot;??\ _₫_-;_-@_-"/>
    <numFmt numFmtId="189" formatCode="#,##0.000"/>
  </numFmts>
  <fonts count="82">
    <font>
      <sz val="13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.VnTime"/>
      <family val="2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name val="Helv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7" borderId="2" applyNumberFormat="0" applyAlignment="0" applyProtection="0"/>
    <xf numFmtId="0" fontId="21" fillId="0" borderId="0">
      <alignment/>
      <protection/>
    </xf>
    <xf numFmtId="0" fontId="12" fillId="0" borderId="0">
      <alignment/>
      <protection/>
    </xf>
    <xf numFmtId="171" fontId="2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1" applyNumberFormat="0" applyAlignment="0" applyProtection="0"/>
    <xf numFmtId="0" fontId="46" fillId="0" borderId="0">
      <alignment/>
      <protection/>
    </xf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7" fillId="0" borderId="0">
      <alignment/>
      <protection/>
    </xf>
    <xf numFmtId="0" fontId="21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86" fontId="3" fillId="0" borderId="10" xfId="42" applyNumberFormat="1" applyFont="1" applyFill="1" applyBorder="1" applyAlignment="1">
      <alignment wrapText="1"/>
    </xf>
    <xf numFmtId="186" fontId="2" fillId="0" borderId="10" xfId="42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86" fontId="5" fillId="0" borderId="10" xfId="42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3" fontId="5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wrapText="1"/>
    </xf>
    <xf numFmtId="9" fontId="3" fillId="0" borderId="10" xfId="72" applyFont="1" applyFill="1" applyBorder="1" applyAlignment="1">
      <alignment wrapText="1"/>
    </xf>
    <xf numFmtId="9" fontId="3" fillId="0" borderId="11" xfId="72" applyFont="1" applyFill="1" applyBorder="1" applyAlignment="1">
      <alignment wrapText="1"/>
    </xf>
    <xf numFmtId="9" fontId="2" fillId="0" borderId="10" xfId="72" applyFont="1" applyFill="1" applyBorder="1" applyAlignment="1">
      <alignment wrapText="1"/>
    </xf>
    <xf numFmtId="9" fontId="2" fillId="0" borderId="11" xfId="72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/>
    </xf>
    <xf numFmtId="186" fontId="2" fillId="0" borderId="0" xfId="42" applyNumberFormat="1" applyFont="1" applyFill="1" applyAlignment="1">
      <alignment/>
    </xf>
    <xf numFmtId="186" fontId="5" fillId="0" borderId="0" xfId="42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0" fontId="14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9" fontId="15" fillId="0" borderId="10" xfId="72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 wrapText="1"/>
    </xf>
    <xf numFmtId="186" fontId="14" fillId="0" borderId="10" xfId="0" applyNumberFormat="1" applyFont="1" applyFill="1" applyBorder="1" applyAlignment="1">
      <alignment horizontal="right" vertical="center" wrapText="1"/>
    </xf>
    <xf numFmtId="9" fontId="14" fillId="0" borderId="10" xfId="72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2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0" fontId="8" fillId="32" borderId="0" xfId="0" applyFont="1" applyFill="1" applyAlignment="1">
      <alignment horizontal="right"/>
    </xf>
    <xf numFmtId="0" fontId="8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13" fillId="32" borderId="0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/>
    </xf>
    <xf numFmtId="9" fontId="14" fillId="32" borderId="0" xfId="72" applyFont="1" applyFill="1" applyBorder="1" applyAlignment="1">
      <alignment vertical="center"/>
    </xf>
    <xf numFmtId="9" fontId="15" fillId="32" borderId="0" xfId="72" applyFont="1" applyFill="1" applyBorder="1" applyAlignment="1">
      <alignment vertical="center"/>
    </xf>
    <xf numFmtId="186" fontId="15" fillId="32" borderId="0" xfId="42" applyNumberFormat="1" applyFont="1" applyFill="1" applyBorder="1" applyAlignment="1">
      <alignment vertical="center"/>
    </xf>
    <xf numFmtId="186" fontId="5" fillId="0" borderId="0" xfId="0" applyNumberFormat="1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3" fontId="7" fillId="33" borderId="12" xfId="0" applyNumberFormat="1" applyFont="1" applyFill="1" applyBorder="1" applyAlignment="1">
      <alignment/>
    </xf>
    <xf numFmtId="186" fontId="7" fillId="33" borderId="12" xfId="42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86" fontId="5" fillId="33" borderId="10" xfId="42" applyNumberFormat="1" applyFont="1" applyFill="1" applyBorder="1" applyAlignment="1">
      <alignment wrapText="1"/>
    </xf>
    <xf numFmtId="186" fontId="3" fillId="0" borderId="0" xfId="42" applyNumberFormat="1" applyFont="1" applyFill="1" applyAlignment="1">
      <alignment/>
    </xf>
    <xf numFmtId="10" fontId="3" fillId="0" borderId="10" xfId="72" applyNumberFormat="1" applyFont="1" applyFill="1" applyBorder="1" applyAlignment="1">
      <alignment wrapText="1"/>
    </xf>
    <xf numFmtId="9" fontId="3" fillId="0" borderId="0" xfId="72" applyFont="1" applyFill="1" applyBorder="1" applyAlignment="1">
      <alignment wrapText="1"/>
    </xf>
    <xf numFmtId="187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0" fontId="5" fillId="0" borderId="10" xfId="0" applyFont="1" applyFill="1" applyBorder="1" applyAlignment="1" quotePrefix="1">
      <alignment horizontal="center" wrapText="1"/>
    </xf>
    <xf numFmtId="0" fontId="5" fillId="0" borderId="10" xfId="0" applyNumberFormat="1" applyFont="1" applyFill="1" applyBorder="1" applyAlignment="1">
      <alignment wrapText="1"/>
    </xf>
    <xf numFmtId="9" fontId="5" fillId="0" borderId="10" xfId="72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2" fillId="0" borderId="0" xfId="0" applyNumberFormat="1" applyFont="1" applyFill="1" applyAlignment="1">
      <alignment horizontal="right"/>
    </xf>
    <xf numFmtId="187" fontId="2" fillId="0" borderId="0" xfId="0" applyNumberFormat="1" applyFont="1" applyFill="1" applyAlignment="1">
      <alignment horizontal="right"/>
    </xf>
    <xf numFmtId="0" fontId="5" fillId="33" borderId="10" xfId="0" applyFont="1" applyFill="1" applyBorder="1" applyAlignment="1">
      <alignment wrapText="1"/>
    </xf>
    <xf numFmtId="3" fontId="5" fillId="33" borderId="0" xfId="0" applyNumberFormat="1" applyFont="1" applyFill="1" applyAlignment="1">
      <alignment horizontal="right"/>
    </xf>
    <xf numFmtId="187" fontId="5" fillId="33" borderId="0" xfId="0" applyNumberFormat="1" applyFont="1" applyFill="1" applyAlignment="1">
      <alignment horizontal="right"/>
    </xf>
    <xf numFmtId="179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3" fontId="12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10" xfId="0" applyFont="1" applyFill="1" applyBorder="1" applyAlignment="1" quotePrefix="1">
      <alignment wrapText="1"/>
    </xf>
    <xf numFmtId="0" fontId="3" fillId="33" borderId="0" xfId="0" applyNumberFormat="1" applyFont="1" applyFill="1" applyAlignment="1">
      <alignment horizontal="left" wrapText="1"/>
    </xf>
    <xf numFmtId="0" fontId="2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wrapText="1"/>
    </xf>
    <xf numFmtId="178" fontId="3" fillId="33" borderId="17" xfId="42" applyNumberFormat="1" applyFont="1" applyFill="1" applyBorder="1" applyAlignment="1">
      <alignment horizontal="center" wrapText="1"/>
    </xf>
    <xf numFmtId="180" fontId="3" fillId="33" borderId="17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wrapText="1"/>
    </xf>
    <xf numFmtId="178" fontId="3" fillId="33" borderId="18" xfId="42" applyNumberFormat="1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wrapText="1"/>
    </xf>
    <xf numFmtId="178" fontId="2" fillId="33" borderId="18" xfId="42" applyNumberFormat="1" applyFont="1" applyFill="1" applyBorder="1" applyAlignment="1">
      <alignment horizontal="center" wrapText="1"/>
    </xf>
    <xf numFmtId="180" fontId="2" fillId="33" borderId="17" xfId="0" applyNumberFormat="1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wrapText="1"/>
    </xf>
    <xf numFmtId="178" fontId="2" fillId="33" borderId="19" xfId="42" applyNumberFormat="1" applyFont="1" applyFill="1" applyBorder="1" applyAlignment="1">
      <alignment horizontal="center" wrapText="1"/>
    </xf>
    <xf numFmtId="180" fontId="2" fillId="33" borderId="2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178" fontId="2" fillId="33" borderId="0" xfId="42" applyNumberFormat="1" applyFont="1" applyFill="1" applyBorder="1" applyAlignment="1">
      <alignment horizontal="center" wrapText="1"/>
    </xf>
    <xf numFmtId="180" fontId="2" fillId="33" borderId="0" xfId="0" applyNumberFormat="1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/>
    </xf>
    <xf numFmtId="0" fontId="11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wrapText="1"/>
    </xf>
    <xf numFmtId="186" fontId="3" fillId="33" borderId="12" xfId="42" applyNumberFormat="1" applyFont="1" applyFill="1" applyBorder="1" applyAlignment="1">
      <alignment wrapText="1"/>
    </xf>
    <xf numFmtId="9" fontId="2" fillId="33" borderId="12" xfId="0" applyNumberFormat="1" applyFont="1" applyFill="1" applyBorder="1" applyAlignment="1">
      <alignment horizontal="center" wrapText="1"/>
    </xf>
    <xf numFmtId="186" fontId="1" fillId="33" borderId="0" xfId="42" applyNumberFormat="1" applyFont="1" applyFill="1" applyAlignment="1">
      <alignment/>
    </xf>
    <xf numFmtId="0" fontId="9" fillId="33" borderId="12" xfId="0" applyFont="1" applyFill="1" applyBorder="1" applyAlignment="1" quotePrefix="1">
      <alignment horizontal="center" wrapText="1"/>
    </xf>
    <xf numFmtId="0" fontId="9" fillId="33" borderId="12" xfId="0" applyFont="1" applyFill="1" applyBorder="1" applyAlignment="1">
      <alignment wrapText="1"/>
    </xf>
    <xf numFmtId="186" fontId="9" fillId="33" borderId="12" xfId="42" applyNumberFormat="1" applyFont="1" applyFill="1" applyBorder="1" applyAlignment="1">
      <alignment wrapText="1"/>
    </xf>
    <xf numFmtId="186" fontId="10" fillId="33" borderId="0" xfId="42" applyNumberFormat="1" applyFont="1" applyFill="1" applyAlignment="1">
      <alignment/>
    </xf>
    <xf numFmtId="0" fontId="10" fillId="33" borderId="0" xfId="0" applyFont="1" applyFill="1" applyAlignment="1">
      <alignment/>
    </xf>
    <xf numFmtId="0" fontId="5" fillId="33" borderId="12" xfId="0" applyFont="1" applyFill="1" applyBorder="1" applyAlignment="1" quotePrefix="1">
      <alignment horizontal="center" wrapText="1"/>
    </xf>
    <xf numFmtId="0" fontId="5" fillId="33" borderId="12" xfId="0" applyFont="1" applyFill="1" applyBorder="1" applyAlignment="1">
      <alignment wrapText="1"/>
    </xf>
    <xf numFmtId="186" fontId="5" fillId="33" borderId="12" xfId="42" applyNumberFormat="1" applyFont="1" applyFill="1" applyBorder="1" applyAlignment="1">
      <alignment wrapText="1"/>
    </xf>
    <xf numFmtId="186" fontId="5" fillId="33" borderId="12" xfId="42" applyNumberFormat="1" applyFont="1" applyFill="1" applyBorder="1" applyAlignment="1">
      <alignment horizontal="center" wrapText="1"/>
    </xf>
    <xf numFmtId="186" fontId="11" fillId="33" borderId="0" xfId="42" applyNumberFormat="1" applyFont="1" applyFill="1" applyAlignment="1">
      <alignment/>
    </xf>
    <xf numFmtId="186" fontId="9" fillId="33" borderId="12" xfId="42" applyNumberFormat="1" applyFont="1" applyFill="1" applyBorder="1" applyAlignment="1">
      <alignment horizontal="center" wrapText="1"/>
    </xf>
    <xf numFmtId="186" fontId="3" fillId="33" borderId="12" xfId="42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5" fillId="33" borderId="12" xfId="0" applyFont="1" applyFill="1" applyBorder="1" applyAlignment="1" quotePrefix="1">
      <alignment wrapText="1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186" fontId="2" fillId="33" borderId="12" xfId="42" applyNumberFormat="1" applyFont="1" applyFill="1" applyBorder="1" applyAlignment="1">
      <alignment wrapText="1"/>
    </xf>
    <xf numFmtId="186" fontId="2" fillId="33" borderId="12" xfId="42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left"/>
    </xf>
    <xf numFmtId="0" fontId="0" fillId="0" borderId="0" xfId="0" applyFont="1" applyAlignment="1">
      <alignment vertical="top" wrapText="1"/>
    </xf>
    <xf numFmtId="0" fontId="3" fillId="0" borderId="10" xfId="0" applyFont="1" applyFill="1" applyBorder="1" applyAlignment="1" quotePrefix="1">
      <alignment horizontal="center" wrapText="1"/>
    </xf>
    <xf numFmtId="3" fontId="13" fillId="33" borderId="0" xfId="0" applyNumberFormat="1" applyFont="1" applyFill="1" applyAlignment="1">
      <alignment/>
    </xf>
    <xf numFmtId="9" fontId="3" fillId="33" borderId="12" xfId="0" applyNumberFormat="1" applyFont="1" applyFill="1" applyBorder="1" applyAlignment="1">
      <alignment horizontal="center" wrapText="1"/>
    </xf>
    <xf numFmtId="186" fontId="7" fillId="33" borderId="0" xfId="42" applyNumberFormat="1" applyFont="1" applyFill="1" applyAlignment="1">
      <alignment/>
    </xf>
    <xf numFmtId="9" fontId="1" fillId="33" borderId="12" xfId="72" applyFont="1" applyFill="1" applyBorder="1" applyAlignment="1">
      <alignment/>
    </xf>
    <xf numFmtId="9" fontId="7" fillId="33" borderId="12" xfId="72" applyFont="1" applyFill="1" applyBorder="1" applyAlignment="1">
      <alignment/>
    </xf>
    <xf numFmtId="0" fontId="12" fillId="0" borderId="0" xfId="65" applyFont="1" applyFill="1">
      <alignment/>
      <protection/>
    </xf>
    <xf numFmtId="0" fontId="21" fillId="0" borderId="0" xfId="50" applyFill="1">
      <alignment/>
      <protection/>
    </xf>
    <xf numFmtId="0" fontId="5" fillId="0" borderId="0" xfId="69" applyFont="1" applyFill="1" applyAlignment="1">
      <alignment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186" fontId="12" fillId="0" borderId="0" xfId="65" applyNumberFormat="1" applyFont="1" applyFill="1">
      <alignment/>
      <protection/>
    </xf>
    <xf numFmtId="0" fontId="22" fillId="0" borderId="0" xfId="50" applyFont="1" applyFill="1">
      <alignment/>
      <protection/>
    </xf>
    <xf numFmtId="0" fontId="8" fillId="0" borderId="10" xfId="65" applyFont="1" applyFill="1" applyBorder="1" applyAlignment="1">
      <alignment horizontal="center"/>
      <protection/>
    </xf>
    <xf numFmtId="0" fontId="8" fillId="0" borderId="10" xfId="65" applyFont="1" applyFill="1" applyBorder="1">
      <alignment/>
      <protection/>
    </xf>
    <xf numFmtId="0" fontId="12" fillId="0" borderId="10" xfId="65" applyFont="1" applyFill="1" applyBorder="1" applyAlignment="1">
      <alignment horizontal="center"/>
      <protection/>
    </xf>
    <xf numFmtId="0" fontId="12" fillId="0" borderId="10" xfId="65" applyFont="1" applyFill="1" applyBorder="1">
      <alignment/>
      <protection/>
    </xf>
    <xf numFmtId="186" fontId="8" fillId="0" borderId="0" xfId="65" applyNumberFormat="1" applyFont="1" applyFill="1">
      <alignment/>
      <protection/>
    </xf>
    <xf numFmtId="186" fontId="22" fillId="0" borderId="0" xfId="50" applyNumberFormat="1" applyFont="1" applyFill="1">
      <alignment/>
      <protection/>
    </xf>
    <xf numFmtId="0" fontId="12" fillId="0" borderId="10" xfId="50" applyFont="1" applyFill="1" applyBorder="1">
      <alignment/>
      <protection/>
    </xf>
    <xf numFmtId="0" fontId="8" fillId="0" borderId="0" xfId="65" applyFont="1" applyFill="1">
      <alignment/>
      <protection/>
    </xf>
    <xf numFmtId="0" fontId="22" fillId="0" borderId="0" xfId="65" applyFont="1" applyFill="1">
      <alignment/>
      <protection/>
    </xf>
    <xf numFmtId="0" fontId="12" fillId="0" borderId="10" xfId="50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3" fillId="0" borderId="10" xfId="15" applyNumberFormat="1" applyFont="1" applyFill="1" applyBorder="1" applyAlignment="1">
      <alignment wrapText="1"/>
      <protection/>
    </xf>
    <xf numFmtId="0" fontId="5" fillId="0" borderId="10" xfId="15" applyFont="1" applyFill="1" applyBorder="1" applyAlignment="1">
      <alignment wrapText="1"/>
      <protection/>
    </xf>
    <xf numFmtId="0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86" fontId="1" fillId="33" borderId="12" xfId="42" applyNumberFormat="1" applyFont="1" applyFill="1" applyBorder="1" applyAlignment="1">
      <alignment/>
    </xf>
    <xf numFmtId="186" fontId="11" fillId="33" borderId="12" xfId="42" applyNumberFormat="1" applyFont="1" applyFill="1" applyBorder="1" applyAlignment="1">
      <alignment/>
    </xf>
    <xf numFmtId="186" fontId="1" fillId="33" borderId="0" xfId="0" applyNumberFormat="1" applyFont="1" applyFill="1" applyAlignment="1">
      <alignment/>
    </xf>
    <xf numFmtId="9" fontId="1" fillId="33" borderId="0" xfId="72" applyFont="1" applyFill="1" applyAlignment="1">
      <alignment/>
    </xf>
    <xf numFmtId="186" fontId="11" fillId="33" borderId="0" xfId="0" applyNumberFormat="1" applyFont="1" applyFill="1" applyAlignment="1">
      <alignment/>
    </xf>
    <xf numFmtId="3" fontId="7" fillId="33" borderId="21" xfId="0" applyNumberFormat="1" applyFont="1" applyFill="1" applyBorder="1" applyAlignment="1">
      <alignment/>
    </xf>
    <xf numFmtId="186" fontId="2" fillId="33" borderId="10" xfId="42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0" xfId="0" applyNumberFormat="1" applyFont="1" applyFill="1" applyAlignment="1">
      <alignment horizontal="right"/>
    </xf>
    <xf numFmtId="187" fontId="2" fillId="33" borderId="0" xfId="0" applyNumberFormat="1" applyFont="1" applyFill="1" applyAlignment="1">
      <alignment horizontal="right"/>
    </xf>
    <xf numFmtId="179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9" fillId="0" borderId="10" xfId="0" applyFont="1" applyFill="1" applyBorder="1" applyAlignment="1" quotePrefix="1">
      <alignment horizontal="center" wrapText="1"/>
    </xf>
    <xf numFmtId="0" fontId="3" fillId="33" borderId="10" xfId="0" applyFont="1" applyFill="1" applyBorder="1" applyAlignment="1" quotePrefix="1">
      <alignment horizontal="center" wrapText="1"/>
    </xf>
    <xf numFmtId="0" fontId="9" fillId="33" borderId="10" xfId="0" applyFont="1" applyFill="1" applyBorder="1" applyAlignment="1">
      <alignment horizontal="center" wrapText="1"/>
    </xf>
    <xf numFmtId="186" fontId="3" fillId="0" borderId="0" xfId="0" applyNumberFormat="1" applyFont="1" applyFill="1" applyAlignment="1">
      <alignment/>
    </xf>
    <xf numFmtId="171" fontId="3" fillId="0" borderId="0" xfId="42" applyFont="1" applyFill="1" applyAlignment="1">
      <alignment/>
    </xf>
    <xf numFmtId="178" fontId="2" fillId="33" borderId="17" xfId="42" applyNumberFormat="1" applyFont="1" applyFill="1" applyBorder="1" applyAlignment="1">
      <alignment horizontal="center" wrapText="1"/>
    </xf>
    <xf numFmtId="178" fontId="2" fillId="33" borderId="15" xfId="42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10" fontId="3" fillId="0" borderId="22" xfId="72" applyNumberFormat="1" applyFont="1" applyFill="1" applyBorder="1" applyAlignment="1">
      <alignment wrapText="1"/>
    </xf>
    <xf numFmtId="9" fontId="3" fillId="0" borderId="22" xfId="72" applyFont="1" applyFill="1" applyBorder="1" applyAlignment="1">
      <alignment wrapText="1"/>
    </xf>
    <xf numFmtId="9" fontId="2" fillId="0" borderId="22" xfId="72" applyFont="1" applyFill="1" applyBorder="1" applyAlignment="1">
      <alignment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9" fontId="3" fillId="0" borderId="22" xfId="72" applyNumberFormat="1" applyFont="1" applyFill="1" applyBorder="1" applyAlignment="1">
      <alignment wrapText="1"/>
    </xf>
    <xf numFmtId="9" fontId="2" fillId="0" borderId="22" xfId="72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9" fontId="8" fillId="0" borderId="10" xfId="72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9" fontId="12" fillId="0" borderId="10" xfId="72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9" fontId="3" fillId="33" borderId="10" xfId="72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9" fontId="2" fillId="33" borderId="10" xfId="72" applyFont="1" applyFill="1" applyBorder="1" applyAlignment="1">
      <alignment/>
    </xf>
    <xf numFmtId="0" fontId="13" fillId="0" borderId="0" xfId="65" applyFont="1" applyFill="1" applyBorder="1" applyAlignment="1">
      <alignment horizontal="right"/>
      <protection/>
    </xf>
    <xf numFmtId="0" fontId="23" fillId="0" borderId="0" xfId="50" applyFont="1" applyFill="1">
      <alignment/>
      <protection/>
    </xf>
    <xf numFmtId="186" fontId="23" fillId="0" borderId="0" xfId="50" applyNumberFormat="1" applyFont="1" applyFill="1">
      <alignment/>
      <protection/>
    </xf>
    <xf numFmtId="0" fontId="24" fillId="0" borderId="10" xfId="50" applyFont="1" applyFill="1" applyBorder="1">
      <alignment/>
      <protection/>
    </xf>
    <xf numFmtId="0" fontId="24" fillId="0" borderId="0" xfId="50" applyFont="1" applyFill="1">
      <alignment/>
      <protection/>
    </xf>
    <xf numFmtId="186" fontId="7" fillId="0" borderId="10" xfId="52" applyNumberFormat="1" applyFont="1" applyFill="1" applyBorder="1" applyAlignment="1">
      <alignment/>
    </xf>
    <xf numFmtId="9" fontId="7" fillId="0" borderId="10" xfId="73" applyFont="1" applyFill="1" applyBorder="1" applyAlignment="1">
      <alignment/>
    </xf>
    <xf numFmtId="186" fontId="1" fillId="0" borderId="10" xfId="52" applyNumberFormat="1" applyFont="1" applyFill="1" applyBorder="1" applyAlignment="1">
      <alignment/>
    </xf>
    <xf numFmtId="9" fontId="1" fillId="0" borderId="10" xfId="73" applyFont="1" applyFill="1" applyBorder="1" applyAlignment="1">
      <alignment/>
    </xf>
    <xf numFmtId="186" fontId="1" fillId="0" borderId="23" xfId="52" applyNumberFormat="1" applyFont="1" applyFill="1" applyBorder="1" applyAlignment="1">
      <alignment/>
    </xf>
    <xf numFmtId="186" fontId="7" fillId="0" borderId="10" xfId="50" applyNumberFormat="1" applyFont="1" applyFill="1" applyBorder="1">
      <alignment/>
      <protection/>
    </xf>
    <xf numFmtId="0" fontId="3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wrapText="1"/>
    </xf>
    <xf numFmtId="186" fontId="3" fillId="34" borderId="12" xfId="42" applyNumberFormat="1" applyFont="1" applyFill="1" applyBorder="1" applyAlignment="1">
      <alignment wrapText="1"/>
    </xf>
    <xf numFmtId="186" fontId="3" fillId="34" borderId="12" xfId="42" applyNumberFormat="1" applyFont="1" applyFill="1" applyBorder="1" applyAlignment="1">
      <alignment horizontal="center" wrapText="1"/>
    </xf>
    <xf numFmtId="186" fontId="7" fillId="34" borderId="12" xfId="42" applyNumberFormat="1" applyFont="1" applyFill="1" applyBorder="1" applyAlignment="1">
      <alignment/>
    </xf>
    <xf numFmtId="9" fontId="3" fillId="34" borderId="12" xfId="0" applyNumberFormat="1" applyFont="1" applyFill="1" applyBorder="1" applyAlignment="1">
      <alignment horizontal="center" wrapText="1"/>
    </xf>
    <xf numFmtId="9" fontId="7" fillId="34" borderId="12" xfId="72" applyFont="1" applyFill="1" applyBorder="1" applyAlignment="1">
      <alignment/>
    </xf>
    <xf numFmtId="186" fontId="7" fillId="34" borderId="0" xfId="42" applyNumberFormat="1" applyFont="1" applyFill="1" applyAlignment="1">
      <alignment/>
    </xf>
    <xf numFmtId="0" fontId="7" fillId="34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27" xfId="0" applyFont="1" applyFill="1" applyBorder="1" applyAlignment="1">
      <alignment horizontal="right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13" fillId="0" borderId="32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13" fillId="33" borderId="32" xfId="0" applyFont="1" applyFill="1" applyBorder="1" applyAlignment="1">
      <alignment horizontal="right"/>
    </xf>
    <xf numFmtId="0" fontId="7" fillId="0" borderId="0" xfId="65" applyFont="1" applyFill="1" applyBorder="1" applyAlignment="1">
      <alignment horizontal="center" wrapText="1"/>
      <protection/>
    </xf>
    <xf numFmtId="0" fontId="11" fillId="0" borderId="0" xfId="69" applyFont="1" applyFill="1" applyAlignment="1">
      <alignment horizontal="center"/>
      <protection/>
    </xf>
    <xf numFmtId="0" fontId="13" fillId="0" borderId="32" xfId="65" applyFont="1" applyFill="1" applyBorder="1" applyAlignment="1">
      <alignment horizontal="right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5" fillId="33" borderId="32" xfId="0" applyFont="1" applyFill="1" applyBorder="1" applyAlignment="1">
      <alignment horizontal="right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188" fontId="3" fillId="33" borderId="10" xfId="42" applyNumberFormat="1" applyFont="1" applyFill="1" applyBorder="1" applyAlignment="1">
      <alignment horizontal="center" vertical="center" wrapText="1"/>
    </xf>
    <xf numFmtId="188" fontId="3" fillId="33" borderId="10" xfId="42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88" fontId="2" fillId="33" borderId="0" xfId="42" applyNumberFormat="1" applyFont="1" applyFill="1" applyAlignment="1">
      <alignment horizontal="center"/>
    </xf>
    <xf numFmtId="189" fontId="2" fillId="33" borderId="0" xfId="46" applyNumberFormat="1" applyFont="1" applyFill="1" applyBorder="1" applyAlignment="1">
      <alignment vertical="center" wrapText="1"/>
    </xf>
    <xf numFmtId="186" fontId="2" fillId="0" borderId="36" xfId="45" applyNumberFormat="1" applyFont="1" applyFill="1" applyBorder="1" applyAlignment="1">
      <alignment vertical="center"/>
    </xf>
    <xf numFmtId="186" fontId="2" fillId="0" borderId="0" xfId="45" applyNumberFormat="1" applyFont="1" applyFill="1" applyBorder="1" applyAlignment="1">
      <alignment vertical="center"/>
    </xf>
    <xf numFmtId="3" fontId="2" fillId="0" borderId="0" xfId="44" applyNumberFormat="1" applyFont="1" applyFill="1" applyBorder="1" applyAlignment="1">
      <alignment vertical="center"/>
    </xf>
    <xf numFmtId="186" fontId="2" fillId="0" borderId="0" xfId="44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5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62" applyFont="1" applyFill="1" applyBorder="1" applyAlignment="1" quotePrefix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188" fontId="2" fillId="33" borderId="10" xfId="42" applyNumberFormat="1" applyFont="1" applyFill="1" applyBorder="1" applyAlignment="1">
      <alignment horizontal="center" vertical="center" wrapText="1"/>
    </xf>
    <xf numFmtId="188" fontId="2" fillId="33" borderId="10" xfId="42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8" fontId="2" fillId="0" borderId="10" xfId="42" applyNumberFormat="1" applyFont="1" applyBorder="1" applyAlignment="1">
      <alignment horizontal="right" vertical="center" wrapText="1"/>
    </xf>
    <xf numFmtId="188" fontId="2" fillId="0" borderId="10" xfId="42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1" fontId="2" fillId="33" borderId="10" xfId="66" applyNumberFormat="1" applyFont="1" applyFill="1" applyBorder="1" applyAlignment="1">
      <alignment horizontal="left" vertical="center" wrapText="1"/>
      <protection/>
    </xf>
    <xf numFmtId="186" fontId="2" fillId="33" borderId="10" xfId="46" applyNumberFormat="1" applyFont="1" applyFill="1" applyBorder="1" applyAlignment="1">
      <alignment vertical="center" wrapText="1"/>
    </xf>
    <xf numFmtId="0" fontId="2" fillId="33" borderId="10" xfId="62" applyFont="1" applyFill="1" applyBorder="1" applyAlignment="1">
      <alignment horizontal="center" vertical="center" wrapText="1"/>
      <protection/>
    </xf>
    <xf numFmtId="188" fontId="2" fillId="33" borderId="10" xfId="42" applyNumberFormat="1" applyFont="1" applyFill="1" applyBorder="1" applyAlignment="1">
      <alignment vertical="center" wrapText="1"/>
    </xf>
    <xf numFmtId="188" fontId="2" fillId="33" borderId="10" xfId="42" applyNumberFormat="1" applyFont="1" applyFill="1" applyBorder="1" applyAlignment="1">
      <alignment vertical="center"/>
    </xf>
    <xf numFmtId="186" fontId="2" fillId="33" borderId="10" xfId="46" applyNumberFormat="1" applyFont="1" applyFill="1" applyBorder="1" applyAlignment="1">
      <alignment horizontal="right" vertical="center" wrapText="1"/>
    </xf>
    <xf numFmtId="3" fontId="2" fillId="0" borderId="10" xfId="67" applyNumberFormat="1" applyFont="1" applyFill="1" applyBorder="1" applyAlignment="1">
      <alignment horizontal="left" vertical="center" wrapText="1"/>
      <protection/>
    </xf>
    <xf numFmtId="3" fontId="2" fillId="0" borderId="10" xfId="67" applyNumberFormat="1" applyFont="1" applyFill="1" applyBorder="1" applyAlignment="1">
      <alignment horizontal="center" vertical="center" wrapText="1"/>
      <protection/>
    </xf>
    <xf numFmtId="3" fontId="2" fillId="0" borderId="10" xfId="44" applyNumberFormat="1" applyFont="1" applyFill="1" applyBorder="1" applyAlignment="1">
      <alignment vertical="center"/>
    </xf>
    <xf numFmtId="3" fontId="3" fillId="0" borderId="10" xfId="67" applyNumberFormat="1" applyFont="1" applyFill="1" applyBorder="1" applyAlignment="1" quotePrefix="1">
      <alignment vertical="center" wrapText="1"/>
      <protection/>
    </xf>
    <xf numFmtId="3" fontId="2" fillId="0" borderId="10" xfId="67" applyNumberFormat="1" applyFont="1" applyFill="1" applyBorder="1" applyAlignment="1" quotePrefix="1">
      <alignment horizontal="center" vertical="center" wrapText="1"/>
      <protection/>
    </xf>
    <xf numFmtId="3" fontId="2" fillId="0" borderId="10" xfId="67" applyNumberFormat="1" applyFont="1" applyFill="1" applyBorder="1" applyAlignment="1" quotePrefix="1">
      <alignment vertical="center" wrapText="1"/>
      <protection/>
    </xf>
    <xf numFmtId="1" fontId="2" fillId="0" borderId="10" xfId="67" applyNumberFormat="1" applyFont="1" applyFill="1" applyBorder="1" applyAlignment="1">
      <alignment vertical="center" wrapText="1"/>
      <protection/>
    </xf>
    <xf numFmtId="186" fontId="2" fillId="0" borderId="10" xfId="44" applyNumberFormat="1" applyFont="1" applyFill="1" applyBorder="1" applyAlignment="1">
      <alignment vertical="center"/>
    </xf>
    <xf numFmtId="188" fontId="2" fillId="0" borderId="10" xfId="42" applyNumberFormat="1" applyFont="1" applyFill="1" applyBorder="1" applyAlignment="1">
      <alignment vertical="center"/>
    </xf>
    <xf numFmtId="188" fontId="2" fillId="0" borderId="10" xfId="42" applyNumberFormat="1" applyFont="1" applyFill="1" applyBorder="1" applyAlignment="1" quotePrefix="1">
      <alignment vertical="center" wrapText="1"/>
    </xf>
    <xf numFmtId="3" fontId="2" fillId="0" borderId="10" xfId="67" applyNumberFormat="1" applyFont="1" applyFill="1" applyBorder="1" applyAlignment="1" quotePrefix="1">
      <alignment horizontal="left" vertical="center" wrapText="1"/>
      <protection/>
    </xf>
    <xf numFmtId="0" fontId="2" fillId="33" borderId="10" xfId="68" applyFont="1" applyFill="1" applyBorder="1" applyAlignment="1">
      <alignment horizontal="left" vertical="center" wrapText="1"/>
      <protection/>
    </xf>
    <xf numFmtId="186" fontId="2" fillId="33" borderId="10" xfId="46" applyNumberFormat="1" applyFont="1" applyFill="1" applyBorder="1" applyAlignment="1">
      <alignment vertical="center"/>
    </xf>
    <xf numFmtId="186" fontId="2" fillId="0" borderId="36" xfId="42" applyNumberFormat="1" applyFont="1" applyFill="1" applyBorder="1" applyAlignment="1">
      <alignment vertical="center" wrapText="1"/>
    </xf>
    <xf numFmtId="186" fontId="2" fillId="0" borderId="0" xfId="42" applyNumberFormat="1" applyFont="1" applyFill="1" applyBorder="1" applyAlignment="1">
      <alignment vertical="center" wrapText="1"/>
    </xf>
    <xf numFmtId="186" fontId="2" fillId="0" borderId="10" xfId="45" applyNumberFormat="1" applyFont="1" applyFill="1" applyBorder="1" applyAlignment="1">
      <alignment vertical="center"/>
    </xf>
    <xf numFmtId="188" fontId="2" fillId="0" borderId="10" xfId="42" applyNumberFormat="1" applyFont="1" applyFill="1" applyBorder="1" applyAlignment="1">
      <alignment vertical="center" wrapText="1"/>
    </xf>
    <xf numFmtId="0" fontId="76" fillId="0" borderId="0" xfId="0" applyFont="1" applyAlignment="1">
      <alignment horizontal="right"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78" fillId="0" borderId="32" xfId="0" applyFont="1" applyBorder="1" applyAlignment="1">
      <alignment horizontal="right"/>
    </xf>
    <xf numFmtId="0" fontId="76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/>
    </xf>
    <xf numFmtId="188" fontId="79" fillId="0" borderId="10" xfId="42" applyNumberFormat="1" applyFont="1" applyBorder="1" applyAlignment="1">
      <alignment horizontal="right"/>
    </xf>
    <xf numFmtId="9" fontId="79" fillId="0" borderId="10" xfId="72" applyFont="1" applyBorder="1" applyAlignment="1">
      <alignment/>
    </xf>
    <xf numFmtId="0" fontId="79" fillId="0" borderId="10" xfId="0" applyFont="1" applyBorder="1" applyAlignment="1">
      <alignment/>
    </xf>
    <xf numFmtId="188" fontId="79" fillId="0" borderId="0" xfId="0" applyNumberFormat="1" applyFont="1" applyAlignment="1">
      <alignment/>
    </xf>
    <xf numFmtId="0" fontId="79" fillId="0" borderId="0" xfId="0" applyFont="1" applyAlignment="1">
      <alignment/>
    </xf>
    <xf numFmtId="0" fontId="80" fillId="0" borderId="10" xfId="0" applyFont="1" applyBorder="1" applyAlignment="1">
      <alignment/>
    </xf>
    <xf numFmtId="188" fontId="80" fillId="0" borderId="10" xfId="42" applyNumberFormat="1" applyFont="1" applyBorder="1" applyAlignment="1">
      <alignment/>
    </xf>
    <xf numFmtId="0" fontId="80" fillId="0" borderId="10" xfId="0" applyFont="1" applyBorder="1" applyAlignment="1" quotePrefix="1">
      <alignment horizontal="right"/>
    </xf>
    <xf numFmtId="0" fontId="80" fillId="0" borderId="10" xfId="0" applyFont="1" applyBorder="1" applyAlignment="1">
      <alignment/>
    </xf>
    <xf numFmtId="0" fontId="80" fillId="0" borderId="0" xfId="0" applyFont="1" applyAlignment="1">
      <alignment/>
    </xf>
    <xf numFmtId="9" fontId="80" fillId="0" borderId="10" xfId="72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188" fontId="79" fillId="0" borderId="10" xfId="42" applyNumberFormat="1" applyFont="1" applyBorder="1" applyAlignment="1">
      <alignment/>
    </xf>
    <xf numFmtId="0" fontId="80" fillId="0" borderId="10" xfId="0" applyFont="1" applyBorder="1" applyAlignment="1">
      <alignment horizontal="center"/>
    </xf>
    <xf numFmtId="0" fontId="7" fillId="0" borderId="10" xfId="65" applyFont="1" applyFill="1" applyBorder="1">
      <alignment/>
      <protection/>
    </xf>
    <xf numFmtId="188" fontId="79" fillId="0" borderId="10" xfId="0" applyNumberFormat="1" applyFont="1" applyBorder="1" applyAlignment="1">
      <alignment/>
    </xf>
    <xf numFmtId="0" fontId="3" fillId="33" borderId="0" xfId="0" applyFont="1" applyFill="1" applyAlignment="1">
      <alignment horizontal="right"/>
    </xf>
    <xf numFmtId="0" fontId="76" fillId="0" borderId="0" xfId="0" applyFont="1" applyAlignment="1">
      <alignment horizontal="center" wrapText="1"/>
    </xf>
  </cellXfs>
  <cellStyles count="63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omma 10 10 10" xfId="44"/>
    <cellStyle name="Comma 2" xfId="45"/>
    <cellStyle name="Comma 2 2" xfId="46"/>
    <cellStyle name="Currency" xfId="47"/>
    <cellStyle name="Currency [0]" xfId="48"/>
    <cellStyle name="Check Cell" xfId="49"/>
    <cellStyle name="Chuẩn 2" xfId="50"/>
    <cellStyle name="Chuẩn 4" xfId="51"/>
    <cellStyle name="Dấu_phảy 2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Kiểu 1" xfId="62"/>
    <cellStyle name="Linked Cell" xfId="63"/>
    <cellStyle name="Neutral" xfId="64"/>
    <cellStyle name="Normal 2" xfId="65"/>
    <cellStyle name="Normal_Bieu mau (CV )" xfId="66"/>
    <cellStyle name="Normal_Bieu mau (CV ) 2 2" xfId="67"/>
    <cellStyle name="Normal_Sheet1" xfId="68"/>
    <cellStyle name="Normal_Sheet1 2 2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CAC%20VAN%20BAN\T&#192;I%20LI&#7878;U%20TR&#204;NH%20K&#7922;%20H&#7884;P%20TH&#7912;%2012%20H&#272;ND%20HUY&#7878;N%20NHI&#7878;M%20K&#7922;%20XX\B&#193;O%20C&#193;O%20THU%20CHI\BIEU%20THU%20CHI%206%20THANG%20DAU%20NAM%202020%20TR&#204;NH%20K&#7922;%20H&#7884;P(t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EU%20THU%20CHI%206%20THANG%20DAU%20NAM%202020%20TR&#204;NH%20K&#7922;%20H&#7884;P(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</sheetNames>
    <sheetDataSet>
      <sheetData sheetId="0">
        <row r="45">
          <cell r="E45">
            <v>315379205957</v>
          </cell>
        </row>
      </sheetData>
      <sheetData sheetId="1">
        <row r="42">
          <cell r="E42">
            <v>157856797556</v>
          </cell>
        </row>
        <row r="52">
          <cell r="E52">
            <v>14122424685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</sheetNames>
    <sheetDataSet>
      <sheetData sheetId="1">
        <row r="41">
          <cell r="E41">
            <v>230079169556</v>
          </cell>
        </row>
        <row r="59">
          <cell r="E59">
            <v>70104249000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view="pageBreakPreview" zoomScaleSheetLayoutView="100" zoomScalePageLayoutView="0" workbookViewId="0" topLeftCell="A38">
      <selection activeCell="F42" sqref="F42:F44"/>
    </sheetView>
  </sheetViews>
  <sheetFormatPr defaultColWidth="8.88671875" defaultRowHeight="16.5"/>
  <cols>
    <col min="1" max="1" width="3.77734375" style="96" customWidth="1"/>
    <col min="2" max="2" width="31.3359375" style="96" customWidth="1"/>
    <col min="3" max="3" width="14.21484375" style="96" customWidth="1"/>
    <col min="4" max="4" width="13.6640625" style="96" customWidth="1"/>
    <col min="5" max="5" width="15.77734375" style="96" customWidth="1"/>
    <col min="6" max="7" width="15.10546875" style="96" customWidth="1"/>
    <col min="8" max="8" width="6.77734375" style="96" bestFit="1" customWidth="1"/>
    <col min="9" max="11" width="6.88671875" style="96" customWidth="1"/>
    <col min="12" max="12" width="6.99609375" style="96" customWidth="1"/>
    <col min="13" max="13" width="19.77734375" style="96" hidden="1" customWidth="1"/>
    <col min="14" max="14" width="15.77734375" style="96" hidden="1" customWidth="1"/>
    <col min="15" max="15" width="0" style="96" hidden="1" customWidth="1"/>
    <col min="16" max="16" width="13.5546875" style="96" hidden="1" customWidth="1"/>
    <col min="17" max="17" width="12.21484375" style="96" bestFit="1" customWidth="1"/>
    <col min="18" max="16384" width="8.88671875" style="96" customWidth="1"/>
  </cols>
  <sheetData>
    <row r="1" spans="1:8" ht="24.75" customHeight="1" hidden="1">
      <c r="A1" s="269"/>
      <c r="B1" s="269"/>
      <c r="C1" s="94"/>
      <c r="D1" s="95"/>
      <c r="E1" s="95"/>
      <c r="F1" s="274" t="s">
        <v>62</v>
      </c>
      <c r="G1" s="274"/>
      <c r="H1" s="274"/>
    </row>
    <row r="2" spans="1:8" ht="25.5" customHeight="1" hidden="1">
      <c r="A2" s="276" t="s">
        <v>63</v>
      </c>
      <c r="B2" s="276"/>
      <c r="C2" s="276"/>
      <c r="D2" s="276"/>
      <c r="E2" s="276"/>
      <c r="F2" s="276"/>
      <c r="G2" s="276"/>
      <c r="H2" s="276"/>
    </row>
    <row r="3" spans="1:8" ht="19.5" customHeight="1" hidden="1">
      <c r="A3" s="275" t="s">
        <v>46</v>
      </c>
      <c r="B3" s="275"/>
      <c r="C3" s="275"/>
      <c r="D3" s="275"/>
      <c r="E3" s="275"/>
      <c r="F3" s="275"/>
      <c r="G3" s="275"/>
      <c r="H3" s="275"/>
    </row>
    <row r="4" spans="1:8" ht="22.5" customHeight="1" hidden="1">
      <c r="A4" s="97"/>
      <c r="B4" s="98"/>
      <c r="C4" s="98"/>
      <c r="D4" s="98"/>
      <c r="E4" s="98"/>
      <c r="F4" s="98"/>
      <c r="G4" s="98"/>
      <c r="H4" s="97"/>
    </row>
    <row r="5" spans="1:8" ht="33.75" customHeight="1" hidden="1">
      <c r="A5" s="270" t="s">
        <v>7</v>
      </c>
      <c r="B5" s="270" t="s">
        <v>8</v>
      </c>
      <c r="C5" s="99"/>
      <c r="D5" s="272" t="s">
        <v>9</v>
      </c>
      <c r="E5" s="185"/>
      <c r="F5" s="272" t="s">
        <v>39</v>
      </c>
      <c r="G5" s="102"/>
      <c r="H5" s="100"/>
    </row>
    <row r="6" spans="1:8" ht="45" customHeight="1" hidden="1">
      <c r="A6" s="271"/>
      <c r="B6" s="271"/>
      <c r="C6" s="101"/>
      <c r="D6" s="273"/>
      <c r="E6" s="186"/>
      <c r="F6" s="273"/>
      <c r="G6" s="102"/>
      <c r="H6" s="102"/>
    </row>
    <row r="7" spans="1:8" ht="16.5" hidden="1">
      <c r="A7" s="103" t="s">
        <v>10</v>
      </c>
      <c r="B7" s="103" t="s">
        <v>11</v>
      </c>
      <c r="C7" s="103"/>
      <c r="D7" s="103">
        <v>1</v>
      </c>
      <c r="E7" s="103"/>
      <c r="F7" s="103">
        <v>2</v>
      </c>
      <c r="G7" s="103"/>
      <c r="H7" s="103"/>
    </row>
    <row r="8" spans="1:8" ht="30" customHeight="1" hidden="1">
      <c r="A8" s="104" t="s">
        <v>10</v>
      </c>
      <c r="B8" s="105" t="s">
        <v>18</v>
      </c>
      <c r="C8" s="105"/>
      <c r="D8" s="106">
        <f>D9+D29</f>
        <v>44280</v>
      </c>
      <c r="E8" s="106"/>
      <c r="F8" s="106">
        <f>F9+F29</f>
        <v>15761</v>
      </c>
      <c r="G8" s="106"/>
      <c r="H8" s="107"/>
    </row>
    <row r="9" spans="1:8" ht="21.75" customHeight="1" hidden="1">
      <c r="A9" s="108" t="s">
        <v>12</v>
      </c>
      <c r="B9" s="109" t="s">
        <v>13</v>
      </c>
      <c r="C9" s="109"/>
      <c r="D9" s="110">
        <f>SUM(D10:D17)+D24+D25+D28</f>
        <v>44280</v>
      </c>
      <c r="E9" s="110"/>
      <c r="F9" s="110">
        <f>SUM(F10:F17)+F24+F25+F28</f>
        <v>15761</v>
      </c>
      <c r="G9" s="106"/>
      <c r="H9" s="107"/>
    </row>
    <row r="10" spans="1:8" ht="21.75" customHeight="1" hidden="1">
      <c r="A10" s="111">
        <v>1</v>
      </c>
      <c r="B10" s="112" t="s">
        <v>19</v>
      </c>
      <c r="C10" s="112"/>
      <c r="D10" s="113"/>
      <c r="E10" s="113"/>
      <c r="F10" s="113"/>
      <c r="G10" s="204"/>
      <c r="H10" s="107"/>
    </row>
    <row r="11" spans="1:8" ht="33" customHeight="1" hidden="1">
      <c r="A11" s="111">
        <v>2</v>
      </c>
      <c r="B11" s="112" t="s">
        <v>20</v>
      </c>
      <c r="C11" s="112"/>
      <c r="D11" s="113"/>
      <c r="E11" s="113"/>
      <c r="F11" s="113"/>
      <c r="G11" s="204"/>
      <c r="H11" s="107"/>
    </row>
    <row r="12" spans="1:8" ht="21.75" customHeight="1" hidden="1">
      <c r="A12" s="111">
        <v>3</v>
      </c>
      <c r="B12" s="112" t="s">
        <v>21</v>
      </c>
      <c r="C12" s="112"/>
      <c r="D12" s="113">
        <v>20000</v>
      </c>
      <c r="E12" s="113"/>
      <c r="F12" s="113">
        <v>8440</v>
      </c>
      <c r="G12" s="204"/>
      <c r="H12" s="114"/>
    </row>
    <row r="13" spans="1:8" ht="21.75" customHeight="1" hidden="1">
      <c r="A13" s="111">
        <v>4</v>
      </c>
      <c r="B13" s="112" t="s">
        <v>22</v>
      </c>
      <c r="C13" s="112"/>
      <c r="D13" s="113">
        <v>2100</v>
      </c>
      <c r="E13" s="113"/>
      <c r="F13" s="113">
        <v>650</v>
      </c>
      <c r="G13" s="204"/>
      <c r="H13" s="114"/>
    </row>
    <row r="14" spans="1:8" ht="21.75" customHeight="1" hidden="1">
      <c r="A14" s="111">
        <v>5</v>
      </c>
      <c r="B14" s="112" t="s">
        <v>23</v>
      </c>
      <c r="C14" s="112"/>
      <c r="D14" s="113"/>
      <c r="E14" s="113"/>
      <c r="F14" s="113"/>
      <c r="G14" s="204"/>
      <c r="H14" s="114"/>
    </row>
    <row r="15" spans="1:8" ht="21.75" customHeight="1" hidden="1">
      <c r="A15" s="111">
        <v>6</v>
      </c>
      <c r="B15" s="112" t="s">
        <v>24</v>
      </c>
      <c r="C15" s="112"/>
      <c r="D15" s="113">
        <v>5500</v>
      </c>
      <c r="E15" s="113"/>
      <c r="F15" s="113">
        <v>2100</v>
      </c>
      <c r="G15" s="204"/>
      <c r="H15" s="114"/>
    </row>
    <row r="16" spans="1:8" ht="21.75" customHeight="1" hidden="1">
      <c r="A16" s="111">
        <v>7</v>
      </c>
      <c r="B16" s="112" t="s">
        <v>25</v>
      </c>
      <c r="C16" s="112"/>
      <c r="D16" s="113">
        <v>900</v>
      </c>
      <c r="E16" s="113"/>
      <c r="F16" s="113">
        <v>500</v>
      </c>
      <c r="G16" s="204"/>
      <c r="H16" s="114"/>
    </row>
    <row r="17" spans="1:8" ht="21.75" customHeight="1" hidden="1">
      <c r="A17" s="111">
        <v>8</v>
      </c>
      <c r="B17" s="112" t="s">
        <v>26</v>
      </c>
      <c r="C17" s="112"/>
      <c r="D17" s="113">
        <f>SUM(D18:D23)</f>
        <v>13630</v>
      </c>
      <c r="E17" s="113"/>
      <c r="F17" s="113">
        <f>SUM(F18:F23)</f>
        <v>3360</v>
      </c>
      <c r="G17" s="204"/>
      <c r="H17" s="114"/>
    </row>
    <row r="18" spans="1:8" ht="21.75" customHeight="1" hidden="1">
      <c r="A18" s="111" t="s">
        <v>27</v>
      </c>
      <c r="B18" s="112" t="s">
        <v>28</v>
      </c>
      <c r="C18" s="112"/>
      <c r="D18" s="113"/>
      <c r="E18" s="113"/>
      <c r="F18" s="113"/>
      <c r="G18" s="204"/>
      <c r="H18" s="114"/>
    </row>
    <row r="19" spans="1:8" ht="21.75" customHeight="1" hidden="1">
      <c r="A19" s="111" t="s">
        <v>27</v>
      </c>
      <c r="B19" s="112" t="s">
        <v>29</v>
      </c>
      <c r="C19" s="112"/>
      <c r="D19" s="113">
        <v>50</v>
      </c>
      <c r="E19" s="113"/>
      <c r="F19" s="113">
        <v>10</v>
      </c>
      <c r="G19" s="204"/>
      <c r="H19" s="114"/>
    </row>
    <row r="20" spans="1:8" ht="21.75" customHeight="1" hidden="1">
      <c r="A20" s="111" t="s">
        <v>27</v>
      </c>
      <c r="B20" s="112" t="s">
        <v>30</v>
      </c>
      <c r="C20" s="112"/>
      <c r="D20" s="113">
        <v>13400</v>
      </c>
      <c r="E20" s="113"/>
      <c r="F20" s="113">
        <v>3350</v>
      </c>
      <c r="G20" s="204"/>
      <c r="H20" s="114"/>
    </row>
    <row r="21" spans="1:8" ht="21.75" customHeight="1" hidden="1">
      <c r="A21" s="111" t="s">
        <v>27</v>
      </c>
      <c r="B21" s="112" t="s">
        <v>31</v>
      </c>
      <c r="C21" s="112"/>
      <c r="D21" s="113"/>
      <c r="E21" s="113"/>
      <c r="F21" s="113"/>
      <c r="G21" s="204"/>
      <c r="H21" s="107"/>
    </row>
    <row r="22" spans="1:8" ht="34.5" customHeight="1" hidden="1">
      <c r="A22" s="111" t="s">
        <v>27</v>
      </c>
      <c r="B22" s="112" t="s">
        <v>32</v>
      </c>
      <c r="C22" s="112"/>
      <c r="D22" s="113"/>
      <c r="E22" s="113"/>
      <c r="F22" s="113"/>
      <c r="G22" s="204"/>
      <c r="H22" s="107"/>
    </row>
    <row r="23" spans="1:8" ht="21.75" customHeight="1" hidden="1">
      <c r="A23" s="111" t="s">
        <v>27</v>
      </c>
      <c r="B23" s="112" t="s">
        <v>40</v>
      </c>
      <c r="C23" s="112"/>
      <c r="D23" s="113">
        <v>180</v>
      </c>
      <c r="E23" s="113"/>
      <c r="F23" s="113"/>
      <c r="G23" s="204"/>
      <c r="H23" s="107"/>
    </row>
    <row r="24" spans="1:8" ht="21.75" customHeight="1" hidden="1">
      <c r="A24" s="111">
        <v>9</v>
      </c>
      <c r="B24" s="112" t="s">
        <v>33</v>
      </c>
      <c r="C24" s="112"/>
      <c r="D24" s="113"/>
      <c r="E24" s="113"/>
      <c r="F24" s="113"/>
      <c r="G24" s="204"/>
      <c r="H24" s="107"/>
    </row>
    <row r="25" spans="1:8" ht="21.75" customHeight="1" hidden="1">
      <c r="A25" s="111">
        <v>10</v>
      </c>
      <c r="B25" s="112" t="s">
        <v>34</v>
      </c>
      <c r="C25" s="112"/>
      <c r="D25" s="113">
        <f>D26+D27</f>
        <v>2000</v>
      </c>
      <c r="E25" s="113"/>
      <c r="F25" s="113">
        <f>F26+F27</f>
        <v>711</v>
      </c>
      <c r="G25" s="204"/>
      <c r="H25" s="114"/>
    </row>
    <row r="26" spans="1:8" ht="21.75" customHeight="1" hidden="1">
      <c r="A26" s="111" t="s">
        <v>27</v>
      </c>
      <c r="B26" s="112" t="s">
        <v>41</v>
      </c>
      <c r="C26" s="112"/>
      <c r="D26" s="113">
        <v>1500</v>
      </c>
      <c r="E26" s="113"/>
      <c r="F26" s="113">
        <v>400</v>
      </c>
      <c r="G26" s="204"/>
      <c r="H26" s="114"/>
    </row>
    <row r="27" spans="1:8" ht="21.75" customHeight="1" hidden="1">
      <c r="A27" s="111" t="s">
        <v>27</v>
      </c>
      <c r="B27" s="112" t="s">
        <v>42</v>
      </c>
      <c r="C27" s="112"/>
      <c r="D27" s="113">
        <v>500</v>
      </c>
      <c r="E27" s="113"/>
      <c r="F27" s="113">
        <f>11+300</f>
        <v>311</v>
      </c>
      <c r="G27" s="204"/>
      <c r="H27" s="114"/>
    </row>
    <row r="28" spans="1:8" ht="33" customHeight="1" hidden="1">
      <c r="A28" s="111">
        <v>11</v>
      </c>
      <c r="B28" s="112" t="s">
        <v>35</v>
      </c>
      <c r="C28" s="112"/>
      <c r="D28" s="113">
        <v>150</v>
      </c>
      <c r="E28" s="113"/>
      <c r="F28" s="113"/>
      <c r="G28" s="204"/>
      <c r="H28" s="107"/>
    </row>
    <row r="29" spans="1:8" ht="21.75" customHeight="1" hidden="1">
      <c r="A29" s="108" t="s">
        <v>15</v>
      </c>
      <c r="B29" s="109" t="s">
        <v>14</v>
      </c>
      <c r="C29" s="109"/>
      <c r="D29" s="113"/>
      <c r="E29" s="113"/>
      <c r="F29" s="113"/>
      <c r="G29" s="204"/>
      <c r="H29" s="107"/>
    </row>
    <row r="30" spans="1:8" ht="41.25" customHeight="1" hidden="1">
      <c r="A30" s="108" t="s">
        <v>11</v>
      </c>
      <c r="B30" s="109" t="s">
        <v>36</v>
      </c>
      <c r="C30" s="109"/>
      <c r="D30" s="110">
        <f>D31+D32</f>
        <v>517691</v>
      </c>
      <c r="E30" s="110"/>
      <c r="F30" s="110">
        <f>F31+F32</f>
        <v>273182.9</v>
      </c>
      <c r="G30" s="106"/>
      <c r="H30" s="107"/>
    </row>
    <row r="31" spans="1:8" ht="21.75" customHeight="1" hidden="1">
      <c r="A31" s="111">
        <v>1</v>
      </c>
      <c r="B31" s="112" t="s">
        <v>37</v>
      </c>
      <c r="C31" s="112"/>
      <c r="D31" s="113">
        <v>42180</v>
      </c>
      <c r="E31" s="113"/>
      <c r="F31" s="113">
        <v>13285</v>
      </c>
      <c r="G31" s="204"/>
      <c r="H31" s="114"/>
    </row>
    <row r="32" spans="1:8" ht="37.5" customHeight="1" hidden="1">
      <c r="A32" s="115">
        <v>2</v>
      </c>
      <c r="B32" s="116" t="s">
        <v>38</v>
      </c>
      <c r="C32" s="116"/>
      <c r="D32" s="117">
        <v>475511</v>
      </c>
      <c r="E32" s="117"/>
      <c r="F32" s="117">
        <v>259897.9</v>
      </c>
      <c r="G32" s="205"/>
      <c r="H32" s="118"/>
    </row>
    <row r="33" spans="1:8" ht="26.25" customHeight="1" hidden="1">
      <c r="A33" s="119"/>
      <c r="B33" s="120"/>
      <c r="C33" s="120"/>
      <c r="D33" s="121"/>
      <c r="E33" s="121"/>
      <c r="F33" s="121"/>
      <c r="G33" s="121"/>
      <c r="H33" s="122"/>
    </row>
    <row r="34" spans="1:8" ht="26.25" customHeight="1" hidden="1">
      <c r="A34" s="119"/>
      <c r="B34" s="120"/>
      <c r="C34" s="120"/>
      <c r="D34" s="121"/>
      <c r="E34" s="121"/>
      <c r="F34" s="121"/>
      <c r="G34" s="121"/>
      <c r="H34" s="122"/>
    </row>
    <row r="35" spans="1:8" ht="26.25" customHeight="1" hidden="1">
      <c r="A35" s="119"/>
      <c r="B35" s="120"/>
      <c r="C35" s="120"/>
      <c r="D35" s="121"/>
      <c r="E35" s="121"/>
      <c r="F35" s="121"/>
      <c r="G35" s="121"/>
      <c r="H35" s="122"/>
    </row>
    <row r="36" spans="1:8" ht="26.25" customHeight="1" hidden="1">
      <c r="A36" s="119"/>
      <c r="B36" s="120"/>
      <c r="C36" s="120"/>
      <c r="D36" s="121"/>
      <c r="E36" s="121"/>
      <c r="F36" s="121"/>
      <c r="G36" s="121"/>
      <c r="H36" s="122"/>
    </row>
    <row r="37" spans="1:8" ht="26.25" customHeight="1" hidden="1">
      <c r="A37" s="119"/>
      <c r="B37" s="120"/>
      <c r="C37" s="120"/>
      <c r="D37" s="121"/>
      <c r="E37" s="121"/>
      <c r="F37" s="121"/>
      <c r="G37" s="121"/>
      <c r="H37" s="122"/>
    </row>
    <row r="38" spans="1:12" ht="26.25" customHeight="1">
      <c r="A38" s="277" t="s">
        <v>200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</row>
    <row r="39" spans="1:12" ht="26.25" customHeight="1">
      <c r="A39" s="278" t="s">
        <v>259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</row>
    <row r="40" spans="1:12" ht="26.25" customHeight="1">
      <c r="A40" s="280" t="s">
        <v>346</v>
      </c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</row>
    <row r="41" spans="1:12" ht="22.5" customHeight="1">
      <c r="A41" s="281" t="s">
        <v>72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</row>
    <row r="42" spans="1:13" ht="20.25" customHeight="1">
      <c r="A42" s="282" t="s">
        <v>7</v>
      </c>
      <c r="B42" s="282" t="s">
        <v>8</v>
      </c>
      <c r="C42" s="266" t="s">
        <v>156</v>
      </c>
      <c r="D42" s="266" t="s">
        <v>152</v>
      </c>
      <c r="E42" s="266" t="s">
        <v>241</v>
      </c>
      <c r="F42" s="266" t="s">
        <v>238</v>
      </c>
      <c r="G42" s="266" t="s">
        <v>248</v>
      </c>
      <c r="H42" s="279" t="s">
        <v>250</v>
      </c>
      <c r="I42" s="279"/>
      <c r="J42" s="279"/>
      <c r="K42" s="279"/>
      <c r="L42" s="279"/>
      <c r="M42" s="96" t="s">
        <v>201</v>
      </c>
    </row>
    <row r="43" spans="1:12" ht="33.75" customHeight="1">
      <c r="A43" s="283"/>
      <c r="B43" s="283"/>
      <c r="C43" s="267"/>
      <c r="D43" s="267"/>
      <c r="E43" s="267"/>
      <c r="F43" s="267"/>
      <c r="G43" s="267"/>
      <c r="H43" s="264" t="s">
        <v>260</v>
      </c>
      <c r="I43" s="265"/>
      <c r="J43" s="264" t="s">
        <v>251</v>
      </c>
      <c r="K43" s="265"/>
      <c r="L43" s="285" t="s">
        <v>252</v>
      </c>
    </row>
    <row r="44" spans="1:12" ht="36" customHeight="1">
      <c r="A44" s="284"/>
      <c r="B44" s="284"/>
      <c r="C44" s="268"/>
      <c r="D44" s="268"/>
      <c r="E44" s="268"/>
      <c r="F44" s="268"/>
      <c r="G44" s="268"/>
      <c r="H44" s="206" t="s">
        <v>249</v>
      </c>
      <c r="I44" s="206" t="s">
        <v>158</v>
      </c>
      <c r="J44" s="206" t="s">
        <v>249</v>
      </c>
      <c r="K44" s="206" t="s">
        <v>158</v>
      </c>
      <c r="L44" s="286"/>
    </row>
    <row r="45" spans="1:12" s="125" customFormat="1" ht="22.5" customHeight="1">
      <c r="A45" s="123" t="s">
        <v>10</v>
      </c>
      <c r="B45" s="123" t="s">
        <v>11</v>
      </c>
      <c r="C45" s="123">
        <v>1</v>
      </c>
      <c r="D45" s="123">
        <v>2</v>
      </c>
      <c r="E45" s="123">
        <v>3</v>
      </c>
      <c r="F45" s="123">
        <v>4</v>
      </c>
      <c r="G45" s="123">
        <v>5</v>
      </c>
      <c r="H45" s="123" t="s">
        <v>254</v>
      </c>
      <c r="I45" s="124" t="s">
        <v>255</v>
      </c>
      <c r="J45" s="124" t="s">
        <v>256</v>
      </c>
      <c r="K45" s="124" t="s">
        <v>257</v>
      </c>
      <c r="L45" s="124" t="s">
        <v>258</v>
      </c>
    </row>
    <row r="46" spans="1:16" ht="24.75" customHeight="1">
      <c r="A46" s="126"/>
      <c r="B46" s="127" t="s">
        <v>175</v>
      </c>
      <c r="C46" s="128">
        <f>+C48+C79</f>
        <v>431680000000</v>
      </c>
      <c r="D46" s="128">
        <f>+D48+D79</f>
        <v>432280000000</v>
      </c>
      <c r="E46" s="128">
        <f>E48+E79+E86+E87</f>
        <v>315379205957</v>
      </c>
      <c r="F46" s="128">
        <f>F48+F79+F86</f>
        <v>275083654225</v>
      </c>
      <c r="G46" s="128">
        <f>G48+G79+G86</f>
        <v>276972346778</v>
      </c>
      <c r="H46" s="158">
        <f>F46/C46</f>
        <v>0.63723974755606</v>
      </c>
      <c r="I46" s="158">
        <f>F46/D46</f>
        <v>0.6363552656264458</v>
      </c>
      <c r="J46" s="158">
        <f>G46/C46</f>
        <v>0.6416149619579318</v>
      </c>
      <c r="K46" s="158">
        <f>G46/D46</f>
        <v>0.6407244072776904</v>
      </c>
      <c r="L46" s="161">
        <f>G46/E46</f>
        <v>0.8782200650722783</v>
      </c>
      <c r="M46" s="130">
        <v>123580903242</v>
      </c>
      <c r="N46" s="189">
        <f>D46+F82</f>
        <v>433267000000</v>
      </c>
      <c r="P46" s="189">
        <f>E46-'[1]01'!$E$45</f>
        <v>0</v>
      </c>
    </row>
    <row r="47" spans="1:14" ht="34.5" customHeight="1">
      <c r="A47" s="126"/>
      <c r="B47" s="127" t="s">
        <v>174</v>
      </c>
      <c r="C47" s="128">
        <f>+C49+C79</f>
        <v>430680000000</v>
      </c>
      <c r="D47" s="128">
        <f>+D49+D79</f>
        <v>431280000000</v>
      </c>
      <c r="E47" s="128">
        <f>+E49+E79+E86+E87</f>
        <v>315060492843</v>
      </c>
      <c r="F47" s="128">
        <f>+F49+F79+F86</f>
        <v>274507042151</v>
      </c>
      <c r="G47" s="128">
        <f>+G49+G79+G86</f>
        <v>276385734704</v>
      </c>
      <c r="H47" s="158">
        <f aca="true" t="shared" si="0" ref="H47:H82">F47/C47</f>
        <v>0.6373805195295811</v>
      </c>
      <c r="I47" s="158">
        <f aca="true" t="shared" si="1" ref="I47:I85">F47/D47</f>
        <v>0.636493790927008</v>
      </c>
      <c r="J47" s="158">
        <f aca="true" t="shared" si="2" ref="J47:J85">G47/C47</f>
        <v>0.6417426736881211</v>
      </c>
      <c r="K47" s="158">
        <f aca="true" t="shared" si="3" ref="K47:K85">G47/D47</f>
        <v>0.6408498764236691</v>
      </c>
      <c r="L47" s="161">
        <f aca="true" t="shared" si="4" ref="L47:L87">G47/E47</f>
        <v>0.8772465636995233</v>
      </c>
      <c r="M47" s="130">
        <v>123314129542</v>
      </c>
      <c r="N47" s="189">
        <f>N46+66100000000</f>
        <v>499367000000</v>
      </c>
    </row>
    <row r="48" spans="1:16" ht="24.75" customHeight="1">
      <c r="A48" s="126" t="s">
        <v>12</v>
      </c>
      <c r="B48" s="127" t="s">
        <v>64</v>
      </c>
      <c r="C48" s="128">
        <f>+C49+C52+C53</f>
        <v>13000000000</v>
      </c>
      <c r="D48" s="128">
        <f>+D49+D52+D53</f>
        <v>13600000000</v>
      </c>
      <c r="E48" s="128">
        <f>+E49+E52+E53</f>
        <v>5558682428</v>
      </c>
      <c r="F48" s="128">
        <f>+F49+F52+F53</f>
        <v>4865163516</v>
      </c>
      <c r="G48" s="128">
        <f>+G49+G52+G53</f>
        <v>5984856069</v>
      </c>
      <c r="H48" s="158">
        <f t="shared" si="0"/>
        <v>0.3742433473846154</v>
      </c>
      <c r="I48" s="158">
        <f t="shared" si="1"/>
        <v>0.3577326114705882</v>
      </c>
      <c r="J48" s="158">
        <f t="shared" si="2"/>
        <v>0.4603735437692308</v>
      </c>
      <c r="K48" s="158">
        <f t="shared" si="3"/>
        <v>0.44006294625</v>
      </c>
      <c r="L48" s="161">
        <f>G48/E48</f>
        <v>1.0766681037314334</v>
      </c>
      <c r="M48" s="130">
        <v>3580903242</v>
      </c>
      <c r="N48" s="190">
        <f>N47/D46</f>
        <v>1.1551933931710927</v>
      </c>
      <c r="P48" s="189">
        <f>G48-F48</f>
        <v>1119692553</v>
      </c>
    </row>
    <row r="49" spans="1:16" s="135" customFormat="1" ht="24.75" customHeight="1">
      <c r="A49" s="131" t="s">
        <v>27</v>
      </c>
      <c r="B49" s="132" t="s">
        <v>71</v>
      </c>
      <c r="C49" s="133">
        <f>+C50+C51</f>
        <v>12000000000</v>
      </c>
      <c r="D49" s="133">
        <f>+D50+D51</f>
        <v>12600000000</v>
      </c>
      <c r="E49" s="133">
        <f>+E50+E51</f>
        <v>5239969314</v>
      </c>
      <c r="F49" s="133">
        <f>+F50+F51</f>
        <v>4288551442</v>
      </c>
      <c r="G49" s="133">
        <f>+G50+G51</f>
        <v>5398243995</v>
      </c>
      <c r="H49" s="158">
        <f t="shared" si="0"/>
        <v>0.3573792868333333</v>
      </c>
      <c r="I49" s="158">
        <f t="shared" si="1"/>
        <v>0.34036122555555554</v>
      </c>
      <c r="J49" s="158">
        <f t="shared" si="2"/>
        <v>0.44985366625</v>
      </c>
      <c r="K49" s="158">
        <f t="shared" si="3"/>
        <v>0.42843206309523807</v>
      </c>
      <c r="L49" s="161">
        <f t="shared" si="4"/>
        <v>1.0302052686791745</v>
      </c>
      <c r="M49" s="134">
        <v>3314129542</v>
      </c>
      <c r="P49" s="189">
        <f>G49-F49</f>
        <v>1109692553</v>
      </c>
    </row>
    <row r="50" spans="1:14" s="125" customFormat="1" ht="24.75" customHeight="1">
      <c r="A50" s="136" t="s">
        <v>172</v>
      </c>
      <c r="B50" s="137" t="s">
        <v>167</v>
      </c>
      <c r="C50" s="138">
        <v>11420000000</v>
      </c>
      <c r="D50" s="139">
        <f>+D54+D60+D63+D64+D67+D71+D77</f>
        <v>12020000000</v>
      </c>
      <c r="E50" s="139">
        <f>E54+E60+E63+E64+E67+E71+E77</f>
        <v>5124225314</v>
      </c>
      <c r="F50" s="139">
        <f>F54+F60+F63+F64+F67+F71+F77</f>
        <v>4138060570</v>
      </c>
      <c r="G50" s="139">
        <f>G54+G60+G63+G64+G67+G71+G77</f>
        <v>5190712816</v>
      </c>
      <c r="H50" s="129">
        <f>F50/C50</f>
        <v>0.3623520639229422</v>
      </c>
      <c r="I50" s="129">
        <f>F50/D50</f>
        <v>0.34426460648918467</v>
      </c>
      <c r="J50" s="129">
        <f t="shared" si="2"/>
        <v>0.45452826760070053</v>
      </c>
      <c r="K50" s="129">
        <f t="shared" si="3"/>
        <v>0.4318396685524126</v>
      </c>
      <c r="L50" s="160">
        <f t="shared" si="4"/>
        <v>1.0129751324201823</v>
      </c>
      <c r="M50" s="140">
        <v>3022474411</v>
      </c>
      <c r="N50" s="191">
        <f>4138060570-F50</f>
        <v>0</v>
      </c>
    </row>
    <row r="51" spans="1:17" s="125" customFormat="1" ht="24.75" customHeight="1">
      <c r="A51" s="136" t="s">
        <v>172</v>
      </c>
      <c r="B51" s="137" t="s">
        <v>169</v>
      </c>
      <c r="C51" s="138">
        <v>580000000</v>
      </c>
      <c r="D51" s="139">
        <f>+D61+D62+D68+D78</f>
        <v>580000000</v>
      </c>
      <c r="E51" s="139">
        <f>E61+E62+E68+E78</f>
        <v>115744000</v>
      </c>
      <c r="F51" s="139">
        <f>F61+F62+F68+F78</f>
        <v>150490872</v>
      </c>
      <c r="G51" s="139">
        <f>G61+G62+G68+G78</f>
        <v>207531179</v>
      </c>
      <c r="H51" s="129">
        <f>F51/C51</f>
        <v>0.25946702068965516</v>
      </c>
      <c r="I51" s="129">
        <f>F51/D51</f>
        <v>0.25946702068965516</v>
      </c>
      <c r="J51" s="129">
        <f t="shared" si="2"/>
        <v>0.3578123775862069</v>
      </c>
      <c r="K51" s="129">
        <f t="shared" si="3"/>
        <v>0.3578123775862069</v>
      </c>
      <c r="L51" s="160">
        <f t="shared" si="4"/>
        <v>1.7930188951479127</v>
      </c>
      <c r="M51" s="140">
        <v>291655131</v>
      </c>
      <c r="Q51" s="191">
        <f>G51-'biểu 03'!J11</f>
        <v>0</v>
      </c>
    </row>
    <row r="52" spans="1:13" s="135" customFormat="1" ht="24.75" customHeight="1">
      <c r="A52" s="131" t="s">
        <v>27</v>
      </c>
      <c r="B52" s="132" t="s">
        <v>173</v>
      </c>
      <c r="C52" s="133">
        <v>550000000</v>
      </c>
      <c r="D52" s="141">
        <v>550000000</v>
      </c>
      <c r="E52" s="141">
        <f>E66+E75</f>
        <v>185133114</v>
      </c>
      <c r="F52" s="141">
        <f>F66+F75</f>
        <v>347452474</v>
      </c>
      <c r="G52" s="141">
        <f>G66+G75</f>
        <v>347452474</v>
      </c>
      <c r="H52" s="158">
        <f>F52/C52</f>
        <v>0.6317317709090909</v>
      </c>
      <c r="I52" s="158">
        <f>F52/D52</f>
        <v>0.6317317709090909</v>
      </c>
      <c r="J52" s="158">
        <f t="shared" si="2"/>
        <v>0.6317317709090909</v>
      </c>
      <c r="K52" s="158">
        <f t="shared" si="3"/>
        <v>0.6317317709090909</v>
      </c>
      <c r="L52" s="161">
        <f t="shared" si="4"/>
        <v>1.876771078349603</v>
      </c>
      <c r="M52" s="134">
        <v>133580000</v>
      </c>
    </row>
    <row r="53" spans="1:13" s="135" customFormat="1" ht="24.75" customHeight="1">
      <c r="A53" s="131" t="s">
        <v>27</v>
      </c>
      <c r="B53" s="132" t="s">
        <v>160</v>
      </c>
      <c r="C53" s="133">
        <v>450000000</v>
      </c>
      <c r="D53" s="141">
        <v>450000000</v>
      </c>
      <c r="E53" s="141">
        <f>E70+E76</f>
        <v>133580000</v>
      </c>
      <c r="F53" s="141">
        <f>F70+F76</f>
        <v>229159600</v>
      </c>
      <c r="G53" s="141">
        <f>G70+G76</f>
        <v>239159600</v>
      </c>
      <c r="H53" s="158">
        <f>F53/C53</f>
        <v>0.5092435555555556</v>
      </c>
      <c r="I53" s="158">
        <f>F53/D53</f>
        <v>0.5092435555555556</v>
      </c>
      <c r="J53" s="158">
        <f t="shared" si="2"/>
        <v>0.5314657777777778</v>
      </c>
      <c r="K53" s="158">
        <f t="shared" si="3"/>
        <v>0.5314657777777778</v>
      </c>
      <c r="L53" s="161">
        <f t="shared" si="4"/>
        <v>1.7903847881419375</v>
      </c>
      <c r="M53" s="134">
        <v>133193700</v>
      </c>
    </row>
    <row r="54" spans="1:13" s="143" customFormat="1" ht="35.25" customHeight="1">
      <c r="A54" s="126">
        <v>1</v>
      </c>
      <c r="B54" s="127" t="s">
        <v>126</v>
      </c>
      <c r="C54" s="128">
        <f>+SUM(C55:C58)</f>
        <v>8700000000</v>
      </c>
      <c r="D54" s="142">
        <f>SUM(D55:D58)</f>
        <v>9240000000</v>
      </c>
      <c r="E54" s="142">
        <f>SUM(E55:E58)</f>
        <v>2517748256</v>
      </c>
      <c r="F54" s="142">
        <f>SUM(F55:F58)</f>
        <v>1907618363</v>
      </c>
      <c r="G54" s="142">
        <f>SUM(G55:G58)</f>
        <v>2860539263</v>
      </c>
      <c r="H54" s="158">
        <f>F54/C54</f>
        <v>0.21926647850574713</v>
      </c>
      <c r="I54" s="158">
        <f t="shared" si="1"/>
        <v>0.2064522037878788</v>
      </c>
      <c r="J54" s="158">
        <f t="shared" si="2"/>
        <v>0.3287976164367816</v>
      </c>
      <c r="K54" s="158">
        <f t="shared" si="3"/>
        <v>0.3095821713203463</v>
      </c>
      <c r="L54" s="161">
        <f t="shared" si="4"/>
        <v>1.1361498339570293</v>
      </c>
      <c r="M54" s="159">
        <v>1593520793</v>
      </c>
    </row>
    <row r="55" spans="1:13" s="125" customFormat="1" ht="24.75" customHeight="1">
      <c r="A55" s="123" t="s">
        <v>27</v>
      </c>
      <c r="B55" s="137" t="s">
        <v>65</v>
      </c>
      <c r="C55" s="138">
        <v>5950000000</v>
      </c>
      <c r="D55" s="139">
        <v>6040000000</v>
      </c>
      <c r="E55" s="188">
        <v>2027883597</v>
      </c>
      <c r="F55" s="139">
        <f>5073000+1302445172</f>
        <v>1307518172</v>
      </c>
      <c r="G55" s="139">
        <f>F55+774334314</f>
        <v>2081852486</v>
      </c>
      <c r="H55" s="129">
        <f t="shared" si="0"/>
        <v>0.21975095327731092</v>
      </c>
      <c r="I55" s="129">
        <f t="shared" si="1"/>
        <v>0.21647651854304636</v>
      </c>
      <c r="J55" s="129">
        <f t="shared" si="2"/>
        <v>0.3498911741176471</v>
      </c>
      <c r="K55" s="129">
        <f t="shared" si="3"/>
        <v>0.34467756390728477</v>
      </c>
      <c r="L55" s="160">
        <f t="shared" si="4"/>
        <v>1.0266134057595022</v>
      </c>
      <c r="M55" s="140">
        <v>1358691145</v>
      </c>
    </row>
    <row r="56" spans="1:13" s="125" customFormat="1" ht="24.75" customHeight="1" hidden="1">
      <c r="A56" s="136" t="s">
        <v>27</v>
      </c>
      <c r="B56" s="137" t="s">
        <v>133</v>
      </c>
      <c r="C56" s="138"/>
      <c r="D56" s="139"/>
      <c r="E56" s="188"/>
      <c r="F56" s="139"/>
      <c r="G56" s="139"/>
      <c r="H56" s="129"/>
      <c r="I56" s="129"/>
      <c r="J56" s="129" t="e">
        <f t="shared" si="2"/>
        <v>#DIV/0!</v>
      </c>
      <c r="K56" s="129" t="e">
        <f t="shared" si="3"/>
        <v>#DIV/0!</v>
      </c>
      <c r="L56" s="160" t="e">
        <f t="shared" si="4"/>
        <v>#DIV/0!</v>
      </c>
      <c r="M56" s="140"/>
    </row>
    <row r="57" spans="1:16" s="125" customFormat="1" ht="24.75" customHeight="1">
      <c r="A57" s="123" t="s">
        <v>27</v>
      </c>
      <c r="B57" s="137" t="s">
        <v>57</v>
      </c>
      <c r="C57" s="138">
        <v>200000000</v>
      </c>
      <c r="D57" s="139">
        <v>200000000</v>
      </c>
      <c r="E57" s="188">
        <v>128154464</v>
      </c>
      <c r="F57" s="139">
        <f>124965255</f>
        <v>124965255</v>
      </c>
      <c r="G57" s="139">
        <f>F57+2390745</f>
        <v>127356000</v>
      </c>
      <c r="H57" s="129">
        <f t="shared" si="0"/>
        <v>0.624826275</v>
      </c>
      <c r="I57" s="129">
        <f t="shared" si="1"/>
        <v>0.624826275</v>
      </c>
      <c r="J57" s="129">
        <f t="shared" si="2"/>
        <v>0.63678</v>
      </c>
      <c r="K57" s="129">
        <f t="shared" si="3"/>
        <v>0.63678</v>
      </c>
      <c r="L57" s="160">
        <f t="shared" si="4"/>
        <v>0.9937695186333891</v>
      </c>
      <c r="M57" s="140">
        <v>24363985</v>
      </c>
      <c r="P57" s="191">
        <f>F57-127356000</f>
        <v>-2390745</v>
      </c>
    </row>
    <row r="58" spans="1:13" s="125" customFormat="1" ht="24.75" customHeight="1">
      <c r="A58" s="123" t="s">
        <v>27</v>
      </c>
      <c r="B58" s="137" t="s">
        <v>58</v>
      </c>
      <c r="C58" s="138">
        <v>2550000000</v>
      </c>
      <c r="D58" s="139">
        <v>3000000000</v>
      </c>
      <c r="E58" s="188">
        <v>361710195</v>
      </c>
      <c r="F58" s="139">
        <f>475134936</f>
        <v>475134936</v>
      </c>
      <c r="G58" s="139">
        <f>F58+176195841</f>
        <v>651330777</v>
      </c>
      <c r="H58" s="129">
        <f t="shared" si="0"/>
        <v>0.18632742588235293</v>
      </c>
      <c r="I58" s="129">
        <f t="shared" si="1"/>
        <v>0.158378312</v>
      </c>
      <c r="J58" s="129">
        <f t="shared" si="2"/>
        <v>0.2554238341176471</v>
      </c>
      <c r="K58" s="129">
        <f t="shared" si="3"/>
        <v>0.217110259</v>
      </c>
      <c r="L58" s="160">
        <f t="shared" si="4"/>
        <v>1.8006978680819323</v>
      </c>
      <c r="M58" s="140">
        <v>210465663</v>
      </c>
    </row>
    <row r="59" spans="1:13" s="143" customFormat="1" ht="24.75" customHeight="1">
      <c r="A59" s="126">
        <v>2</v>
      </c>
      <c r="B59" s="127" t="s">
        <v>24</v>
      </c>
      <c r="C59" s="128">
        <f>+C60+C61</f>
        <v>1300000000</v>
      </c>
      <c r="D59" s="128">
        <f>+D60+D61</f>
        <v>1300000000</v>
      </c>
      <c r="E59" s="72">
        <f>E60+E61</f>
        <v>601242918</v>
      </c>
      <c r="F59" s="128">
        <f>+F60+F61</f>
        <v>1109105426</v>
      </c>
      <c r="G59" s="128">
        <f>+G60+G61</f>
        <v>1159409787</v>
      </c>
      <c r="H59" s="158">
        <f t="shared" si="0"/>
        <v>0.85315802</v>
      </c>
      <c r="I59" s="158">
        <f t="shared" si="1"/>
        <v>0.85315802</v>
      </c>
      <c r="J59" s="158">
        <f t="shared" si="2"/>
        <v>0.8918536823076924</v>
      </c>
      <c r="K59" s="158">
        <f t="shared" si="3"/>
        <v>0.8918536823076924</v>
      </c>
      <c r="L59" s="161">
        <f t="shared" si="4"/>
        <v>1.928354999767332</v>
      </c>
      <c r="M59" s="159">
        <v>392435088</v>
      </c>
    </row>
    <row r="60" spans="1:13" s="125" customFormat="1" ht="24.75" customHeight="1">
      <c r="A60" s="136" t="s">
        <v>166</v>
      </c>
      <c r="B60" s="137" t="s">
        <v>167</v>
      </c>
      <c r="C60" s="138">
        <v>1210000000</v>
      </c>
      <c r="D60" s="139">
        <v>1210000000</v>
      </c>
      <c r="E60" s="188">
        <v>601242918</v>
      </c>
      <c r="F60" s="139">
        <v>1073645941</v>
      </c>
      <c r="G60" s="139">
        <f>F60+45159992</f>
        <v>1118805933</v>
      </c>
      <c r="H60" s="129">
        <f>F60/C60</f>
        <v>0.8873106950413223</v>
      </c>
      <c r="I60" s="129">
        <f>F60/D60</f>
        <v>0.8873106950413223</v>
      </c>
      <c r="J60" s="129">
        <f t="shared" si="2"/>
        <v>0.9246330024793389</v>
      </c>
      <c r="K60" s="129">
        <f t="shared" si="3"/>
        <v>0.9246330024793389</v>
      </c>
      <c r="L60" s="160">
        <f t="shared" si="4"/>
        <v>1.8608218068025544</v>
      </c>
      <c r="M60" s="140">
        <v>365199957</v>
      </c>
    </row>
    <row r="61" spans="1:13" s="125" customFormat="1" ht="24.75" customHeight="1">
      <c r="A61" s="136" t="s">
        <v>27</v>
      </c>
      <c r="B61" s="137" t="s">
        <v>168</v>
      </c>
      <c r="C61" s="138">
        <v>90000000</v>
      </c>
      <c r="D61" s="139">
        <v>90000000</v>
      </c>
      <c r="E61" s="188"/>
      <c r="F61" s="139">
        <f>35459485</f>
        <v>35459485</v>
      </c>
      <c r="G61" s="139">
        <f>F61+5144369</f>
        <v>40603854</v>
      </c>
      <c r="H61" s="129">
        <f>F61/C61</f>
        <v>0.3939942777777778</v>
      </c>
      <c r="I61" s="129">
        <f>F61/D61</f>
        <v>0.3939942777777778</v>
      </c>
      <c r="J61" s="129">
        <f t="shared" si="2"/>
        <v>0.4511539333333333</v>
      </c>
      <c r="K61" s="129">
        <f t="shared" si="3"/>
        <v>0.4511539333333333</v>
      </c>
      <c r="L61" s="160"/>
      <c r="M61" s="140">
        <v>27235131</v>
      </c>
    </row>
    <row r="62" spans="1:13" s="143" customFormat="1" ht="24.75" customHeight="1">
      <c r="A62" s="126">
        <v>3</v>
      </c>
      <c r="B62" s="127" t="s">
        <v>29</v>
      </c>
      <c r="C62" s="128"/>
      <c r="D62" s="142"/>
      <c r="E62" s="72"/>
      <c r="F62" s="142">
        <f>15462387</f>
        <v>15462387</v>
      </c>
      <c r="G62" s="142">
        <f>F62+637852</f>
        <v>16100239</v>
      </c>
      <c r="H62" s="129"/>
      <c r="I62" s="129"/>
      <c r="J62" s="158"/>
      <c r="K62" s="158"/>
      <c r="L62" s="161"/>
      <c r="M62" s="159"/>
    </row>
    <row r="63" spans="1:13" s="261" customFormat="1" ht="24.75" customHeight="1">
      <c r="A63" s="253">
        <v>4</v>
      </c>
      <c r="B63" s="254" t="s">
        <v>22</v>
      </c>
      <c r="C63" s="255">
        <v>1000000000</v>
      </c>
      <c r="D63" s="256">
        <f>C63</f>
        <v>1000000000</v>
      </c>
      <c r="E63" s="257">
        <v>535517620</v>
      </c>
      <c r="F63" s="256">
        <v>558729769</v>
      </c>
      <c r="G63" s="256">
        <f>F63+44492569</f>
        <v>603222338</v>
      </c>
      <c r="H63" s="258">
        <f t="shared" si="0"/>
        <v>0.558729769</v>
      </c>
      <c r="I63" s="258">
        <f t="shared" si="1"/>
        <v>0.558729769</v>
      </c>
      <c r="J63" s="258">
        <f t="shared" si="2"/>
        <v>0.603222338</v>
      </c>
      <c r="K63" s="258">
        <f t="shared" si="3"/>
        <v>0.603222338</v>
      </c>
      <c r="L63" s="259">
        <f t="shared" si="4"/>
        <v>1.126428553368608</v>
      </c>
      <c r="M63" s="260">
        <v>252518342</v>
      </c>
    </row>
    <row r="64" spans="1:13" s="143" customFormat="1" ht="24.75" customHeight="1">
      <c r="A64" s="126">
        <v>5</v>
      </c>
      <c r="B64" s="127" t="s">
        <v>40</v>
      </c>
      <c r="C64" s="128">
        <v>50000000</v>
      </c>
      <c r="D64" s="142">
        <v>50000000</v>
      </c>
      <c r="E64" s="72"/>
      <c r="F64" s="142">
        <f>29691500</f>
        <v>29691500</v>
      </c>
      <c r="G64" s="142">
        <f>F64</f>
        <v>29691500</v>
      </c>
      <c r="H64" s="158">
        <f t="shared" si="0"/>
        <v>0.59383</v>
      </c>
      <c r="I64" s="158">
        <f t="shared" si="1"/>
        <v>0.59383</v>
      </c>
      <c r="J64" s="158">
        <f t="shared" si="2"/>
        <v>0.59383</v>
      </c>
      <c r="K64" s="158">
        <f t="shared" si="3"/>
        <v>0.59383</v>
      </c>
      <c r="L64" s="161"/>
      <c r="M64" s="159"/>
    </row>
    <row r="65" spans="1:13" s="143" customFormat="1" ht="24.75" customHeight="1">
      <c r="A65" s="126">
        <v>6</v>
      </c>
      <c r="B65" s="127" t="s">
        <v>25</v>
      </c>
      <c r="C65" s="128">
        <f>+C67+C68</f>
        <v>700000000</v>
      </c>
      <c r="D65" s="128">
        <f>+D67+D68</f>
        <v>700000000</v>
      </c>
      <c r="E65" s="72">
        <f>SUM(E66:E68)</f>
        <v>254172531</v>
      </c>
      <c r="F65" s="128">
        <f>+F66+F67+F68</f>
        <v>324543435</v>
      </c>
      <c r="G65" s="128">
        <f>+G66+G67+G68</f>
        <v>385880306</v>
      </c>
      <c r="H65" s="158">
        <f t="shared" si="0"/>
        <v>0.46363347857142856</v>
      </c>
      <c r="I65" s="158">
        <f t="shared" si="1"/>
        <v>0.46363347857142856</v>
      </c>
      <c r="J65" s="158">
        <f t="shared" si="2"/>
        <v>0.55125758</v>
      </c>
      <c r="K65" s="158">
        <f t="shared" si="3"/>
        <v>0.55125758</v>
      </c>
      <c r="L65" s="161">
        <f t="shared" si="4"/>
        <v>1.5181825686741892</v>
      </c>
      <c r="M65" s="159">
        <v>194965421</v>
      </c>
    </row>
    <row r="66" spans="1:15" s="125" customFormat="1" ht="24.75" customHeight="1">
      <c r="A66" s="136" t="s">
        <v>27</v>
      </c>
      <c r="B66" s="137" t="s">
        <v>176</v>
      </c>
      <c r="C66" s="138"/>
      <c r="D66" s="138"/>
      <c r="E66" s="188">
        <v>1350000</v>
      </c>
      <c r="F66" s="138">
        <v>38567925</v>
      </c>
      <c r="G66" s="138">
        <f>F66</f>
        <v>38567925</v>
      </c>
      <c r="H66" s="129"/>
      <c r="I66" s="129"/>
      <c r="J66" s="129"/>
      <c r="K66" s="129"/>
      <c r="L66" s="160">
        <f t="shared" si="4"/>
        <v>28.568833333333334</v>
      </c>
      <c r="M66" s="140">
        <v>1350000</v>
      </c>
      <c r="O66" s="125">
        <v>1350000</v>
      </c>
    </row>
    <row r="67" spans="1:15" s="125" customFormat="1" ht="24.75" customHeight="1">
      <c r="A67" s="136" t="s">
        <v>27</v>
      </c>
      <c r="B67" s="137" t="s">
        <v>167</v>
      </c>
      <c r="C67" s="138">
        <v>210000000</v>
      </c>
      <c r="D67" s="139">
        <v>210000000</v>
      </c>
      <c r="E67" s="188">
        <v>165882531</v>
      </c>
      <c r="F67" s="139">
        <f>116903646+79952864</f>
        <v>196856510</v>
      </c>
      <c r="G67" s="139">
        <f>F67+10078785</f>
        <v>206935295</v>
      </c>
      <c r="H67" s="129">
        <f>F67/C67</f>
        <v>0.9374119523809524</v>
      </c>
      <c r="I67" s="129">
        <f>F67/D67</f>
        <v>0.9374119523809524</v>
      </c>
      <c r="J67" s="129">
        <f t="shared" si="2"/>
        <v>0.9854061666666667</v>
      </c>
      <c r="K67" s="129">
        <f t="shared" si="3"/>
        <v>0.9854061666666667</v>
      </c>
      <c r="L67" s="160">
        <f t="shared" si="4"/>
        <v>1.24748093577135</v>
      </c>
      <c r="M67" s="140">
        <v>106675421</v>
      </c>
      <c r="O67" s="125">
        <v>165882531</v>
      </c>
    </row>
    <row r="68" spans="1:15" s="125" customFormat="1" ht="24.75" customHeight="1">
      <c r="A68" s="136" t="s">
        <v>27</v>
      </c>
      <c r="B68" s="137" t="s">
        <v>169</v>
      </c>
      <c r="C68" s="138">
        <v>490000000</v>
      </c>
      <c r="D68" s="139">
        <v>490000000</v>
      </c>
      <c r="E68" s="188">
        <v>86940000</v>
      </c>
      <c r="F68" s="139">
        <v>89119000</v>
      </c>
      <c r="G68" s="139">
        <f>F68+51258086</f>
        <v>140377086</v>
      </c>
      <c r="H68" s="129">
        <f>F68/C68</f>
        <v>0.18187551020408163</v>
      </c>
      <c r="I68" s="129">
        <f>F68/D68</f>
        <v>0.18187551020408163</v>
      </c>
      <c r="J68" s="129">
        <f t="shared" si="2"/>
        <v>0.28648384897959184</v>
      </c>
      <c r="K68" s="129">
        <f t="shared" si="3"/>
        <v>0.28648384897959184</v>
      </c>
      <c r="L68" s="160">
        <f t="shared" si="4"/>
        <v>1.6146432712215322</v>
      </c>
      <c r="M68" s="140">
        <v>86940000</v>
      </c>
      <c r="O68" s="125">
        <v>86940000</v>
      </c>
    </row>
    <row r="69" spans="1:13" s="143" customFormat="1" ht="24.75" customHeight="1">
      <c r="A69" s="126">
        <v>7</v>
      </c>
      <c r="B69" s="127" t="s">
        <v>30</v>
      </c>
      <c r="C69" s="128">
        <f>+C70+C71</f>
        <v>500000000</v>
      </c>
      <c r="D69" s="128">
        <f>+D70+D71</f>
        <v>500000000</v>
      </c>
      <c r="E69" s="72">
        <f>E70+E71</f>
        <v>965380000</v>
      </c>
      <c r="F69" s="142">
        <f>+F70+F71+F73</f>
        <v>346591800</v>
      </c>
      <c r="G69" s="142">
        <f>+G70+G71+G73</f>
        <v>346591800</v>
      </c>
      <c r="H69" s="158">
        <f t="shared" si="0"/>
        <v>0.6931836</v>
      </c>
      <c r="I69" s="158">
        <f t="shared" si="1"/>
        <v>0.6931836</v>
      </c>
      <c r="J69" s="158">
        <f t="shared" si="2"/>
        <v>0.6931836</v>
      </c>
      <c r="K69" s="158">
        <f t="shared" si="3"/>
        <v>0.6931836</v>
      </c>
      <c r="L69" s="161">
        <f t="shared" si="4"/>
        <v>0.3590211108579005</v>
      </c>
      <c r="M69" s="159">
        <v>911580000</v>
      </c>
    </row>
    <row r="70" spans="1:13" s="125" customFormat="1" ht="24.75" customHeight="1">
      <c r="A70" s="137" t="s">
        <v>73</v>
      </c>
      <c r="B70" s="137" t="s">
        <v>160</v>
      </c>
      <c r="C70" s="138">
        <v>450000000</v>
      </c>
      <c r="D70" s="139">
        <v>450000000</v>
      </c>
      <c r="E70" s="188">
        <v>133580000</v>
      </c>
      <c r="F70" s="139">
        <v>239159600</v>
      </c>
      <c r="G70" s="139">
        <f>F70</f>
        <v>239159600</v>
      </c>
      <c r="H70" s="129">
        <f>F70/C70</f>
        <v>0.5314657777777778</v>
      </c>
      <c r="I70" s="129">
        <f>F70/D70</f>
        <v>0.5314657777777778</v>
      </c>
      <c r="J70" s="129">
        <f t="shared" si="2"/>
        <v>0.5314657777777778</v>
      </c>
      <c r="K70" s="129">
        <f t="shared" si="3"/>
        <v>0.5314657777777778</v>
      </c>
      <c r="L70" s="160">
        <f t="shared" si="4"/>
        <v>1.7903847881419375</v>
      </c>
      <c r="M70" s="140">
        <v>133580000</v>
      </c>
    </row>
    <row r="71" spans="1:13" s="125" customFormat="1" ht="24.75" customHeight="1">
      <c r="A71" s="144" t="s">
        <v>153</v>
      </c>
      <c r="B71" s="137" t="s">
        <v>161</v>
      </c>
      <c r="C71" s="138">
        <v>50000000</v>
      </c>
      <c r="D71" s="139">
        <v>50000000</v>
      </c>
      <c r="E71" s="188">
        <v>831800000</v>
      </c>
      <c r="F71" s="139">
        <v>107432200</v>
      </c>
      <c r="G71" s="139">
        <f>F71</f>
        <v>107432200</v>
      </c>
      <c r="H71" s="129">
        <f>F71/C71</f>
        <v>2.148644</v>
      </c>
      <c r="I71" s="129">
        <f>F71/D71</f>
        <v>2.148644</v>
      </c>
      <c r="J71" s="129">
        <f t="shared" si="2"/>
        <v>2.148644</v>
      </c>
      <c r="K71" s="129">
        <f t="shared" si="3"/>
        <v>2.148644</v>
      </c>
      <c r="L71" s="160">
        <f t="shared" si="4"/>
        <v>0.1291562875691272</v>
      </c>
      <c r="M71" s="140">
        <f>622400000+155600000</f>
        <v>778000000</v>
      </c>
    </row>
    <row r="72" spans="1:13" s="125" customFormat="1" ht="24.75" customHeight="1" hidden="1">
      <c r="A72" s="137" t="s">
        <v>73</v>
      </c>
      <c r="B72" s="137" t="s">
        <v>157</v>
      </c>
      <c r="C72" s="138"/>
      <c r="D72" s="139"/>
      <c r="E72" s="188"/>
      <c r="F72" s="139"/>
      <c r="G72" s="139"/>
      <c r="H72" s="129"/>
      <c r="I72" s="129"/>
      <c r="J72" s="158" t="e">
        <f t="shared" si="2"/>
        <v>#DIV/0!</v>
      </c>
      <c r="K72" s="158" t="e">
        <f t="shared" si="3"/>
        <v>#DIV/0!</v>
      </c>
      <c r="L72" s="161" t="e">
        <f t="shared" si="4"/>
        <v>#DIV/0!</v>
      </c>
      <c r="M72" s="140"/>
    </row>
    <row r="73" spans="1:13" ht="24.75" customHeight="1" hidden="1">
      <c r="A73" s="145" t="s">
        <v>27</v>
      </c>
      <c r="B73" s="146" t="s">
        <v>162</v>
      </c>
      <c r="C73" s="147"/>
      <c r="D73" s="148"/>
      <c r="E73" s="187"/>
      <c r="F73" s="148"/>
      <c r="G73" s="148"/>
      <c r="H73" s="129"/>
      <c r="I73" s="129"/>
      <c r="J73" s="158" t="e">
        <f t="shared" si="2"/>
        <v>#DIV/0!</v>
      </c>
      <c r="K73" s="158" t="e">
        <f t="shared" si="3"/>
        <v>#DIV/0!</v>
      </c>
      <c r="L73" s="161" t="e">
        <f t="shared" si="4"/>
        <v>#DIV/0!</v>
      </c>
      <c r="M73" s="130"/>
    </row>
    <row r="74" spans="1:13" s="143" customFormat="1" ht="24.75" customHeight="1">
      <c r="A74" s="126">
        <v>8</v>
      </c>
      <c r="B74" s="127" t="s">
        <v>34</v>
      </c>
      <c r="C74" s="128">
        <v>750000000</v>
      </c>
      <c r="D74" s="142">
        <f>+D75+D77</f>
        <v>810000000</v>
      </c>
      <c r="E74" s="72">
        <f>SUM(E75:E78)</f>
        <v>684621103</v>
      </c>
      <c r="F74" s="142">
        <f>SUM(F75:F78)</f>
        <v>573420836</v>
      </c>
      <c r="G74" s="142">
        <f>SUM(G75:G78)</f>
        <v>583420836</v>
      </c>
      <c r="H74" s="158">
        <f t="shared" si="0"/>
        <v>0.7645611146666667</v>
      </c>
      <c r="I74" s="158">
        <f t="shared" si="1"/>
        <v>0.7079269580246914</v>
      </c>
      <c r="J74" s="158">
        <f t="shared" si="2"/>
        <v>0.777894448</v>
      </c>
      <c r="K74" s="158">
        <f t="shared" si="3"/>
        <v>0.720272637037037</v>
      </c>
      <c r="L74" s="161">
        <f t="shared" si="4"/>
        <v>0.8521806199713362</v>
      </c>
      <c r="M74" s="159">
        <v>232553598</v>
      </c>
    </row>
    <row r="75" spans="1:13" s="125" customFormat="1" ht="24.75" customHeight="1">
      <c r="A75" s="123" t="s">
        <v>27</v>
      </c>
      <c r="B75" s="137" t="s">
        <v>59</v>
      </c>
      <c r="C75" s="138">
        <v>550000000</v>
      </c>
      <c r="D75" s="139">
        <v>550000000</v>
      </c>
      <c r="E75" s="188">
        <v>183783114</v>
      </c>
      <c r="F75" s="139">
        <v>308884549</v>
      </c>
      <c r="G75" s="139">
        <f>F75</f>
        <v>308884549</v>
      </c>
      <c r="H75" s="129">
        <f t="shared" si="0"/>
        <v>0.5616082709090909</v>
      </c>
      <c r="I75" s="129">
        <f t="shared" si="1"/>
        <v>0.5616082709090909</v>
      </c>
      <c r="J75" s="158">
        <f t="shared" si="2"/>
        <v>0.5616082709090909</v>
      </c>
      <c r="K75" s="158">
        <f t="shared" si="3"/>
        <v>0.5616082709090909</v>
      </c>
      <c r="L75" s="161">
        <f t="shared" si="4"/>
        <v>1.6807014653152519</v>
      </c>
      <c r="M75" s="140">
        <v>131843700</v>
      </c>
    </row>
    <row r="76" spans="1:13" s="125" customFormat="1" ht="15.75" customHeight="1">
      <c r="A76" s="136" t="s">
        <v>27</v>
      </c>
      <c r="B76" s="137" t="s">
        <v>61</v>
      </c>
      <c r="C76" s="138"/>
      <c r="D76" s="139"/>
      <c r="E76" s="188"/>
      <c r="F76" s="139">
        <v>-10000000</v>
      </c>
      <c r="G76" s="139"/>
      <c r="H76" s="129"/>
      <c r="I76" s="129"/>
      <c r="J76" s="129"/>
      <c r="K76" s="129"/>
      <c r="L76" s="160"/>
      <c r="M76" s="140"/>
    </row>
    <row r="77" spans="1:13" s="125" customFormat="1" ht="24.75" customHeight="1">
      <c r="A77" s="136" t="s">
        <v>27</v>
      </c>
      <c r="B77" s="137" t="s">
        <v>55</v>
      </c>
      <c r="C77" s="138">
        <v>200000000</v>
      </c>
      <c r="D77" s="139">
        <v>260000000</v>
      </c>
      <c r="E77" s="188">
        <v>472033989</v>
      </c>
      <c r="F77" s="139">
        <v>264086287</v>
      </c>
      <c r="G77" s="139">
        <f>F77</f>
        <v>264086287</v>
      </c>
      <c r="H77" s="129">
        <f t="shared" si="0"/>
        <v>1.320431435</v>
      </c>
      <c r="I77" s="129">
        <f t="shared" si="1"/>
        <v>1.0157164884615384</v>
      </c>
      <c r="J77" s="129">
        <f t="shared" si="2"/>
        <v>1.320431435</v>
      </c>
      <c r="K77" s="129">
        <f t="shared" si="3"/>
        <v>1.0157164884615384</v>
      </c>
      <c r="L77" s="160">
        <f t="shared" si="4"/>
        <v>0.5594645579642783</v>
      </c>
      <c r="M77" s="140">
        <v>82159898</v>
      </c>
    </row>
    <row r="78" spans="1:13" s="125" customFormat="1" ht="24.75" customHeight="1">
      <c r="A78" s="136" t="s">
        <v>27</v>
      </c>
      <c r="B78" s="137" t="s">
        <v>69</v>
      </c>
      <c r="C78" s="138"/>
      <c r="D78" s="139"/>
      <c r="E78" s="188">
        <v>28804000</v>
      </c>
      <c r="F78" s="139">
        <v>10450000</v>
      </c>
      <c r="G78" s="139">
        <f>F78</f>
        <v>10450000</v>
      </c>
      <c r="H78" s="129"/>
      <c r="I78" s="129"/>
      <c r="J78" s="129"/>
      <c r="K78" s="129"/>
      <c r="L78" s="160">
        <f t="shared" si="4"/>
        <v>0.3627968337730871</v>
      </c>
      <c r="M78" s="140">
        <v>18550000</v>
      </c>
    </row>
    <row r="79" spans="1:13" s="143" customFormat="1" ht="24.75" customHeight="1">
      <c r="A79" s="126" t="s">
        <v>15</v>
      </c>
      <c r="B79" s="127" t="s">
        <v>56</v>
      </c>
      <c r="C79" s="128">
        <f>+C80+C81+C82</f>
        <v>418680000000</v>
      </c>
      <c r="D79" s="128">
        <f>+D80+D81+D82</f>
        <v>418680000000</v>
      </c>
      <c r="E79" s="72">
        <f>E80+E82</f>
        <v>240000000000</v>
      </c>
      <c r="F79" s="128">
        <f>+F80+F81+F82</f>
        <v>226987000000</v>
      </c>
      <c r="G79" s="128">
        <f>+G80+G81+G82</f>
        <v>227756000000</v>
      </c>
      <c r="H79" s="158">
        <f t="shared" si="0"/>
        <v>0.5421491353778543</v>
      </c>
      <c r="I79" s="158">
        <f t="shared" si="1"/>
        <v>0.5421491353778543</v>
      </c>
      <c r="J79" s="158">
        <f t="shared" si="2"/>
        <v>0.5439858603229196</v>
      </c>
      <c r="K79" s="158">
        <f t="shared" si="3"/>
        <v>0.5439858603229196</v>
      </c>
      <c r="L79" s="161">
        <f t="shared" si="4"/>
        <v>0.9489833333333333</v>
      </c>
      <c r="M79" s="159">
        <v>120000000000</v>
      </c>
    </row>
    <row r="80" spans="1:13" ht="24.75" customHeight="1">
      <c r="A80" s="145">
        <v>1</v>
      </c>
      <c r="B80" s="146" t="s">
        <v>170</v>
      </c>
      <c r="C80" s="147">
        <f>377695000000+40966000000</f>
        <v>418661000000</v>
      </c>
      <c r="D80" s="148">
        <f>C80</f>
        <v>418661000000</v>
      </c>
      <c r="E80" s="187">
        <v>183000000000</v>
      </c>
      <c r="F80" s="148">
        <v>226000000000</v>
      </c>
      <c r="G80" s="148">
        <f>F80</f>
        <v>226000000000</v>
      </c>
      <c r="H80" s="129">
        <f t="shared" si="0"/>
        <v>0.5398162236272306</v>
      </c>
      <c r="I80" s="129">
        <f t="shared" si="1"/>
        <v>0.5398162236272306</v>
      </c>
      <c r="J80" s="129">
        <f t="shared" si="2"/>
        <v>0.5398162236272306</v>
      </c>
      <c r="K80" s="129">
        <f t="shared" si="3"/>
        <v>0.5398162236272306</v>
      </c>
      <c r="L80" s="160">
        <f t="shared" si="4"/>
        <v>1.2349726775956285</v>
      </c>
      <c r="M80" s="130">
        <v>93000000000</v>
      </c>
    </row>
    <row r="81" spans="1:13" ht="24.75" customHeight="1" hidden="1">
      <c r="A81" s="145"/>
      <c r="B81" s="146"/>
      <c r="C81" s="147"/>
      <c r="D81" s="148"/>
      <c r="E81" s="187"/>
      <c r="F81" s="148"/>
      <c r="G81" s="148"/>
      <c r="H81" s="129" t="e">
        <f t="shared" si="0"/>
        <v>#DIV/0!</v>
      </c>
      <c r="I81" s="129"/>
      <c r="J81" s="129" t="e">
        <f t="shared" si="2"/>
        <v>#DIV/0!</v>
      </c>
      <c r="K81" s="129" t="e">
        <f t="shared" si="3"/>
        <v>#DIV/0!</v>
      </c>
      <c r="L81" s="160" t="e">
        <f t="shared" si="4"/>
        <v>#DIV/0!</v>
      </c>
      <c r="M81" s="130"/>
    </row>
    <row r="82" spans="1:13" ht="24.75" customHeight="1">
      <c r="A82" s="145">
        <v>2</v>
      </c>
      <c r="B82" s="146" t="s">
        <v>171</v>
      </c>
      <c r="C82" s="147">
        <v>19000000</v>
      </c>
      <c r="D82" s="148">
        <v>19000000</v>
      </c>
      <c r="E82" s="187">
        <v>57000000000</v>
      </c>
      <c r="F82" s="148">
        <v>987000000</v>
      </c>
      <c r="G82" s="148">
        <f>F82+769000000</f>
        <v>1756000000</v>
      </c>
      <c r="H82" s="129">
        <f t="shared" si="0"/>
        <v>51.94736842105263</v>
      </c>
      <c r="I82" s="129">
        <f t="shared" si="1"/>
        <v>51.94736842105263</v>
      </c>
      <c r="J82" s="129">
        <f t="shared" si="2"/>
        <v>92.42105263157895</v>
      </c>
      <c r="K82" s="129">
        <f t="shared" si="3"/>
        <v>92.42105263157895</v>
      </c>
      <c r="L82" s="160">
        <f t="shared" si="4"/>
        <v>0.03080701754385965</v>
      </c>
      <c r="M82" s="130">
        <v>27000000000</v>
      </c>
    </row>
    <row r="83" spans="1:12" s="125" customFormat="1" ht="24.75" customHeight="1" hidden="1">
      <c r="A83" s="123" t="s">
        <v>47</v>
      </c>
      <c r="B83" s="137" t="s">
        <v>66</v>
      </c>
      <c r="C83" s="138"/>
      <c r="D83" s="139"/>
      <c r="E83" s="139"/>
      <c r="F83" s="139"/>
      <c r="G83" s="139"/>
      <c r="H83" s="129"/>
      <c r="I83" s="129" t="e">
        <f t="shared" si="1"/>
        <v>#DIV/0!</v>
      </c>
      <c r="J83" s="158" t="e">
        <f t="shared" si="2"/>
        <v>#DIV/0!</v>
      </c>
      <c r="K83" s="158" t="e">
        <f t="shared" si="3"/>
        <v>#DIV/0!</v>
      </c>
      <c r="L83" s="161" t="e">
        <f t="shared" si="4"/>
        <v>#DIV/0!</v>
      </c>
    </row>
    <row r="84" spans="1:12" s="125" customFormat="1" ht="24.75" customHeight="1" hidden="1">
      <c r="A84" s="123" t="s">
        <v>47</v>
      </c>
      <c r="B84" s="137" t="s">
        <v>67</v>
      </c>
      <c r="C84" s="138"/>
      <c r="D84" s="139"/>
      <c r="E84" s="139"/>
      <c r="F84" s="139"/>
      <c r="G84" s="139"/>
      <c r="H84" s="129"/>
      <c r="I84" s="129" t="e">
        <f t="shared" si="1"/>
        <v>#DIV/0!</v>
      </c>
      <c r="J84" s="158" t="e">
        <f t="shared" si="2"/>
        <v>#DIV/0!</v>
      </c>
      <c r="K84" s="158" t="e">
        <f t="shared" si="3"/>
        <v>#DIV/0!</v>
      </c>
      <c r="L84" s="161" t="e">
        <f t="shared" si="4"/>
        <v>#DIV/0!</v>
      </c>
    </row>
    <row r="85" spans="1:12" s="125" customFormat="1" ht="24.75" customHeight="1" hidden="1">
      <c r="A85" s="123"/>
      <c r="B85" s="137" t="s">
        <v>125</v>
      </c>
      <c r="C85" s="138"/>
      <c r="D85" s="139"/>
      <c r="E85" s="139"/>
      <c r="F85" s="139"/>
      <c r="G85" s="139"/>
      <c r="H85" s="129" t="e">
        <f>F85/D85</f>
        <v>#DIV/0!</v>
      </c>
      <c r="I85" s="129" t="e">
        <f t="shared" si="1"/>
        <v>#DIV/0!</v>
      </c>
      <c r="J85" s="158" t="e">
        <f t="shared" si="2"/>
        <v>#DIV/0!</v>
      </c>
      <c r="K85" s="158" t="e">
        <f t="shared" si="3"/>
        <v>#DIV/0!</v>
      </c>
      <c r="L85" s="161" t="e">
        <f t="shared" si="4"/>
        <v>#DIV/0!</v>
      </c>
    </row>
    <row r="86" spans="1:12" ht="16.5">
      <c r="A86" s="149" t="s">
        <v>17</v>
      </c>
      <c r="B86" s="149" t="s">
        <v>70</v>
      </c>
      <c r="C86" s="72"/>
      <c r="D86" s="149"/>
      <c r="E86" s="72">
        <v>69623914840</v>
      </c>
      <c r="F86" s="72">
        <v>43231490709</v>
      </c>
      <c r="G86" s="72">
        <v>43231490709</v>
      </c>
      <c r="H86" s="129"/>
      <c r="I86" s="150"/>
      <c r="J86" s="158"/>
      <c r="K86" s="158"/>
      <c r="L86" s="161">
        <f t="shared" si="4"/>
        <v>0.6209287542699746</v>
      </c>
    </row>
    <row r="87" spans="1:12" s="151" customFormat="1" ht="16.5">
      <c r="A87" s="71" t="s">
        <v>154</v>
      </c>
      <c r="B87" s="71" t="s">
        <v>155</v>
      </c>
      <c r="C87" s="72"/>
      <c r="D87" s="71"/>
      <c r="E87" s="71">
        <v>196608689</v>
      </c>
      <c r="F87" s="71"/>
      <c r="G87" s="71"/>
      <c r="H87" s="73"/>
      <c r="I87" s="73"/>
      <c r="J87" s="158"/>
      <c r="K87" s="158"/>
      <c r="L87" s="161">
        <f t="shared" si="4"/>
        <v>0</v>
      </c>
    </row>
    <row r="88" spans="1:11" s="151" customFormat="1" ht="16.5" hidden="1">
      <c r="A88" s="192" t="s">
        <v>163</v>
      </c>
      <c r="B88" s="192" t="s">
        <v>164</v>
      </c>
      <c r="C88" s="192"/>
      <c r="D88" s="192"/>
      <c r="E88" s="192"/>
      <c r="F88" s="192"/>
      <c r="G88" s="192"/>
      <c r="H88" s="192"/>
      <c r="I88" s="192"/>
      <c r="J88" s="152"/>
      <c r="K88" s="152"/>
    </row>
    <row r="89" spans="1:11" s="151" customFormat="1" ht="16.5" hidden="1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</row>
    <row r="90" spans="6:7" s="153" customFormat="1" ht="16.5" hidden="1">
      <c r="F90" s="154"/>
      <c r="G90" s="154"/>
    </row>
    <row r="91" s="153" customFormat="1" ht="16.5" hidden="1"/>
    <row r="92" s="153" customFormat="1" ht="16.5" hidden="1"/>
    <row r="93" s="153" customFormat="1" ht="16.5"/>
  </sheetData>
  <sheetProtection/>
  <mergeCells count="23">
    <mergeCell ref="A42:A44"/>
    <mergeCell ref="D42:D44"/>
    <mergeCell ref="L43:L44"/>
    <mergeCell ref="A3:H3"/>
    <mergeCell ref="A2:H2"/>
    <mergeCell ref="F5:F6"/>
    <mergeCell ref="A38:L38"/>
    <mergeCell ref="A39:L39"/>
    <mergeCell ref="H42:L42"/>
    <mergeCell ref="A40:L40"/>
    <mergeCell ref="A41:L41"/>
    <mergeCell ref="C42:C44"/>
    <mergeCell ref="B42:B44"/>
    <mergeCell ref="H43:I43"/>
    <mergeCell ref="J43:K43"/>
    <mergeCell ref="G42:G44"/>
    <mergeCell ref="F42:F44"/>
    <mergeCell ref="E42:E44"/>
    <mergeCell ref="A1:B1"/>
    <mergeCell ref="B5:B6"/>
    <mergeCell ref="D5:D6"/>
    <mergeCell ref="F1:H1"/>
    <mergeCell ref="A5:A6"/>
  </mergeCells>
  <printOptions/>
  <pageMargins left="0.9055118110236221" right="0.4330708661417323" top="0.31496062992125984" bottom="0.2362204724409449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1"/>
  <sheetViews>
    <sheetView view="pageBreakPreview" zoomScale="115" zoomScaleSheetLayoutView="115" zoomScalePageLayoutView="0" workbookViewId="0" topLeftCell="A1">
      <selection activeCell="A4" sqref="A4:I4"/>
    </sheetView>
  </sheetViews>
  <sheetFormatPr defaultColWidth="8.88671875" defaultRowHeight="16.5"/>
  <cols>
    <col min="1" max="1" width="5.3359375" style="1" customWidth="1"/>
    <col min="2" max="2" width="43.6640625" style="1" customWidth="1"/>
    <col min="3" max="3" width="15.5546875" style="1" customWidth="1"/>
    <col min="4" max="4" width="15.10546875" style="1" customWidth="1"/>
    <col min="5" max="6" width="13.5546875" style="1" customWidth="1"/>
    <col min="7" max="8" width="6.77734375" style="1" customWidth="1"/>
    <col min="9" max="9" width="6.99609375" style="1" customWidth="1"/>
    <col min="10" max="10" width="9.3359375" style="4" hidden="1" customWidth="1"/>
    <col min="11" max="11" width="13.21484375" style="4" hidden="1" customWidth="1"/>
    <col min="12" max="12" width="18.3359375" style="1" hidden="1" customWidth="1"/>
    <col min="13" max="13" width="15.99609375" style="1" hidden="1" customWidth="1"/>
    <col min="14" max="14" width="8.5546875" style="1" hidden="1" customWidth="1"/>
    <col min="15" max="15" width="4.99609375" style="1" hidden="1" customWidth="1"/>
    <col min="16" max="16" width="3.3359375" style="1" hidden="1" customWidth="1"/>
    <col min="17" max="17" width="1.88671875" style="1" hidden="1" customWidth="1"/>
    <col min="18" max="20" width="0" style="1" hidden="1" customWidth="1"/>
    <col min="21" max="21" width="16.21484375" style="1" hidden="1" customWidth="1"/>
    <col min="22" max="22" width="13.10546875" style="1" bestFit="1" customWidth="1"/>
    <col min="23" max="16384" width="8.88671875" style="1" customWidth="1"/>
  </cols>
  <sheetData>
    <row r="1" spans="1:9" ht="17.25" customHeight="1">
      <c r="A1" s="293"/>
      <c r="B1" s="293"/>
      <c r="D1" s="292"/>
      <c r="E1" s="292"/>
      <c r="F1" s="292"/>
      <c r="G1" s="292"/>
      <c r="H1" s="292"/>
      <c r="I1" s="292"/>
    </row>
    <row r="2" spans="1:9" ht="21.75" customHeight="1">
      <c r="A2" s="291" t="s">
        <v>263</v>
      </c>
      <c r="B2" s="291"/>
      <c r="C2" s="291"/>
      <c r="D2" s="291"/>
      <c r="E2" s="291"/>
      <c r="F2" s="291"/>
      <c r="G2" s="291"/>
      <c r="H2" s="291"/>
      <c r="I2" s="291"/>
    </row>
    <row r="3" spans="1:9" ht="18.75" customHeight="1">
      <c r="A3" s="298" t="str">
        <f>'01'!A40:L40</f>
        <v>(Kèm theo Báo cáo số 155a /BC-UBND ngày 31 /5/2021 của UBND huyện Tủa Chùa)</v>
      </c>
      <c r="B3" s="298"/>
      <c r="C3" s="298"/>
      <c r="D3" s="298"/>
      <c r="E3" s="298"/>
      <c r="F3" s="298"/>
      <c r="G3" s="298"/>
      <c r="H3" s="298"/>
      <c r="I3" s="298"/>
    </row>
    <row r="4" spans="1:9" ht="26.25" customHeight="1">
      <c r="A4" s="290" t="s">
        <v>72</v>
      </c>
      <c r="B4" s="290"/>
      <c r="C4" s="290"/>
      <c r="D4" s="290"/>
      <c r="E4" s="290"/>
      <c r="F4" s="290"/>
      <c r="G4" s="290"/>
      <c r="H4" s="290"/>
      <c r="I4" s="290"/>
    </row>
    <row r="5" spans="1:13" ht="46.5" customHeight="1">
      <c r="A5" s="287" t="s">
        <v>7</v>
      </c>
      <c r="B5" s="287" t="s">
        <v>8</v>
      </c>
      <c r="C5" s="294" t="s">
        <v>68</v>
      </c>
      <c r="D5" s="287" t="s">
        <v>239</v>
      </c>
      <c r="E5" s="287" t="s">
        <v>240</v>
      </c>
      <c r="F5" s="288" t="s">
        <v>264</v>
      </c>
      <c r="G5" s="295" t="s">
        <v>226</v>
      </c>
      <c r="H5" s="296"/>
      <c r="I5" s="297"/>
      <c r="M5" s="33">
        <f>239255911967</f>
        <v>239255911967</v>
      </c>
    </row>
    <row r="6" spans="1:13" ht="33.75" customHeight="1">
      <c r="A6" s="287"/>
      <c r="B6" s="287"/>
      <c r="C6" s="294"/>
      <c r="D6" s="287"/>
      <c r="E6" s="287"/>
      <c r="F6" s="289"/>
      <c r="G6" s="212" t="s">
        <v>235</v>
      </c>
      <c r="H6" s="213" t="s">
        <v>262</v>
      </c>
      <c r="I6" s="211" t="s">
        <v>261</v>
      </c>
      <c r="M6" s="33">
        <f>50541287011</f>
        <v>50541287011</v>
      </c>
    </row>
    <row r="7" spans="1:16" s="8" customFormat="1" ht="18" customHeight="1">
      <c r="A7" s="19" t="s">
        <v>10</v>
      </c>
      <c r="B7" s="19" t="s">
        <v>11</v>
      </c>
      <c r="C7" s="19">
        <v>1</v>
      </c>
      <c r="D7" s="19">
        <v>2</v>
      </c>
      <c r="E7" s="19">
        <v>3</v>
      </c>
      <c r="F7" s="19">
        <v>4</v>
      </c>
      <c r="G7" s="19" t="s">
        <v>253</v>
      </c>
      <c r="H7" s="207" t="s">
        <v>254</v>
      </c>
      <c r="I7" s="70" t="s">
        <v>255</v>
      </c>
      <c r="J7" s="7"/>
      <c r="K7" s="7">
        <f>115346206730-D8</f>
        <v>-114732962826</v>
      </c>
      <c r="M7" s="34">
        <f>65974544921</f>
        <v>65974544921</v>
      </c>
      <c r="P7" s="67"/>
    </row>
    <row r="8" spans="1:22" ht="21" customHeight="1">
      <c r="A8" s="9"/>
      <c r="B8" s="10" t="s">
        <v>159</v>
      </c>
      <c r="C8" s="11">
        <f>+C9+C75</f>
        <v>431280000000</v>
      </c>
      <c r="D8" s="11">
        <f>D9+D52+D75</f>
        <v>230079169556</v>
      </c>
      <c r="E8" s="11">
        <f>E9+E52+E75</f>
        <v>168096273380</v>
      </c>
      <c r="F8" s="11">
        <f>F9+F52+F75</f>
        <v>199679605842</v>
      </c>
      <c r="G8" s="76">
        <f>E8/C8</f>
        <v>0.3897613461788165</v>
      </c>
      <c r="H8" s="208">
        <f>F8/C8</f>
        <v>0.4629929647607123</v>
      </c>
      <c r="I8" s="25">
        <f>F8/D8</f>
        <v>0.8678734638487083</v>
      </c>
      <c r="L8" s="6"/>
      <c r="M8" s="32">
        <f>(M5+M6)-M7</f>
        <v>223822654057</v>
      </c>
      <c r="O8" s="4">
        <v>178779495154</v>
      </c>
      <c r="P8" s="32">
        <f>+E8-60740007038</f>
        <v>107356266342</v>
      </c>
      <c r="U8" s="32">
        <f>D8-'[2]02'!$E$41</f>
        <v>0</v>
      </c>
      <c r="V8" s="32"/>
    </row>
    <row r="9" spans="1:21" ht="21" customHeight="1">
      <c r="A9" s="9" t="s">
        <v>12</v>
      </c>
      <c r="B9" s="10" t="s">
        <v>60</v>
      </c>
      <c r="C9" s="11">
        <f>+C10+C13+C49+C50+C51</f>
        <v>431261000000</v>
      </c>
      <c r="D9" s="11">
        <f>D10+D13</f>
        <v>157856797556</v>
      </c>
      <c r="E9" s="11">
        <f>+E10+E13</f>
        <v>163483569380</v>
      </c>
      <c r="F9" s="11">
        <f>+F10+F13</f>
        <v>195066901842</v>
      </c>
      <c r="G9" s="24">
        <f>E9/C9</f>
        <v>0.37908266543925834</v>
      </c>
      <c r="H9" s="208">
        <f aca="true" t="shared" si="0" ref="H9:H51">F9/C9</f>
        <v>0.45231751037538753</v>
      </c>
      <c r="I9" s="25">
        <f aca="true" t="shared" si="1" ref="I9:I72">F9/D9</f>
        <v>1.235720633270795</v>
      </c>
      <c r="M9" s="32">
        <f>M8-D8</f>
        <v>-6256515499</v>
      </c>
      <c r="O9" s="32">
        <f>E9-O8</f>
        <v>-15295925774</v>
      </c>
      <c r="U9" s="32">
        <f>D9-'[1]02'!$E$42</f>
        <v>0</v>
      </c>
    </row>
    <row r="10" spans="1:16" ht="21" customHeight="1">
      <c r="A10" s="9">
        <v>1</v>
      </c>
      <c r="B10" s="23" t="s">
        <v>101</v>
      </c>
      <c r="C10" s="11">
        <f>+C11+C12</f>
        <v>16698000000</v>
      </c>
      <c r="D10" s="11">
        <f>+D11+D12</f>
        <v>730336515</v>
      </c>
      <c r="E10" s="11">
        <f>E12</f>
        <v>0</v>
      </c>
      <c r="F10" s="11">
        <f>F12</f>
        <v>0</v>
      </c>
      <c r="G10" s="24">
        <f>E10/C10</f>
        <v>0</v>
      </c>
      <c r="H10" s="214">
        <f t="shared" si="0"/>
        <v>0</v>
      </c>
      <c r="I10" s="25">
        <f t="shared" si="1"/>
        <v>0</v>
      </c>
      <c r="P10" s="33"/>
    </row>
    <row r="11" spans="1:16" s="8" customFormat="1" ht="21" customHeight="1">
      <c r="A11" s="80" t="s">
        <v>27</v>
      </c>
      <c r="B11" s="81" t="s">
        <v>177</v>
      </c>
      <c r="C11" s="17">
        <v>16653000000</v>
      </c>
      <c r="D11" s="17"/>
      <c r="E11" s="17"/>
      <c r="F11" s="17"/>
      <c r="G11" s="26">
        <f>E11/C11</f>
        <v>0</v>
      </c>
      <c r="H11" s="215">
        <f t="shared" si="0"/>
        <v>0</v>
      </c>
      <c r="I11" s="27"/>
      <c r="J11" s="7"/>
      <c r="K11" s="7"/>
      <c r="P11" s="34"/>
    </row>
    <row r="12" spans="1:16" s="8" customFormat="1" ht="21" customHeight="1">
      <c r="A12" s="80" t="s">
        <v>27</v>
      </c>
      <c r="B12" s="20" t="s">
        <v>131</v>
      </c>
      <c r="C12" s="17">
        <v>45000000</v>
      </c>
      <c r="D12" s="17">
        <v>730336515</v>
      </c>
      <c r="E12" s="17"/>
      <c r="F12" s="17"/>
      <c r="G12" s="26">
        <f aca="true" t="shared" si="2" ref="G12:G18">E12/C12</f>
        <v>0</v>
      </c>
      <c r="H12" s="215">
        <f t="shared" si="0"/>
        <v>0</v>
      </c>
      <c r="I12" s="27">
        <f t="shared" si="1"/>
        <v>0</v>
      </c>
      <c r="J12" s="7"/>
      <c r="K12" s="7"/>
      <c r="P12" s="34"/>
    </row>
    <row r="13" spans="1:21" s="3" customFormat="1" ht="21" customHeight="1">
      <c r="A13" s="9">
        <v>2</v>
      </c>
      <c r="B13" s="10" t="s">
        <v>16</v>
      </c>
      <c r="C13" s="11">
        <f>+C14+C15+C16+C23+C24+C25+C26+C27+C42+C47+C48</f>
        <v>403831000000</v>
      </c>
      <c r="D13" s="11">
        <f>D14+D15+D16+D23+D24+D25+D26+D27+D42+D47+D48</f>
        <v>157126461041</v>
      </c>
      <c r="E13" s="11">
        <f>+E14+E15+E16+E23+E24+E25+E26+E27+E42+E47+E48</f>
        <v>163483569380</v>
      </c>
      <c r="F13" s="11">
        <f>+F14+F15+F16+F23+F24+F25+F26+F27+F42+F47+F48</f>
        <v>195066901842</v>
      </c>
      <c r="G13" s="24">
        <f t="shared" si="2"/>
        <v>0.4048316483380424</v>
      </c>
      <c r="H13" s="214">
        <f t="shared" si="0"/>
        <v>0.483040930096996</v>
      </c>
      <c r="I13" s="25">
        <f t="shared" si="1"/>
        <v>1.241464362842742</v>
      </c>
      <c r="J13" s="5"/>
      <c r="K13" s="5"/>
      <c r="O13" s="31">
        <f>E13-D13</f>
        <v>6357108339</v>
      </c>
      <c r="P13" s="75"/>
      <c r="U13" s="203">
        <f>145659189559+22502008821</f>
        <v>168161198380</v>
      </c>
    </row>
    <row r="14" spans="1:22" ht="21" customHeight="1">
      <c r="A14" s="9" t="s">
        <v>47</v>
      </c>
      <c r="B14" s="83" t="s">
        <v>43</v>
      </c>
      <c r="C14" s="12">
        <v>5875500000</v>
      </c>
      <c r="D14" s="12">
        <v>2835650105</v>
      </c>
      <c r="E14" s="12">
        <f>986000000+2509079771</f>
        <v>3495079771</v>
      </c>
      <c r="F14" s="12">
        <f>E14+150000000+1696329</f>
        <v>3646776100</v>
      </c>
      <c r="G14" s="26">
        <f t="shared" si="2"/>
        <v>0.5948565689728533</v>
      </c>
      <c r="H14" s="215">
        <f t="shared" si="0"/>
        <v>0.6206750234022637</v>
      </c>
      <c r="I14" s="27">
        <f t="shared" si="1"/>
        <v>1.2860458677781756</v>
      </c>
      <c r="J14" s="84"/>
      <c r="K14" s="84"/>
      <c r="L14" s="85">
        <f>E14-D14</f>
        <v>659429666</v>
      </c>
      <c r="M14" s="6"/>
      <c r="O14" s="31">
        <f aca="true" t="shared" si="3" ref="O14:O88">E14-D14</f>
        <v>659429666</v>
      </c>
      <c r="P14" s="33"/>
      <c r="V14" s="32">
        <f>F14-3646776100</f>
        <v>0</v>
      </c>
    </row>
    <row r="15" spans="1:16" ht="21" customHeight="1">
      <c r="A15" s="9" t="s">
        <v>47</v>
      </c>
      <c r="B15" s="83" t="s">
        <v>44</v>
      </c>
      <c r="C15" s="12">
        <v>1316000000</v>
      </c>
      <c r="D15" s="12">
        <v>832887518</v>
      </c>
      <c r="E15" s="12">
        <f>1008500000+36410129</f>
        <v>1044910129</v>
      </c>
      <c r="F15" s="12">
        <f>1050000000</f>
        <v>1050000000</v>
      </c>
      <c r="G15" s="26">
        <f t="shared" si="2"/>
        <v>0.7940046572948328</v>
      </c>
      <c r="H15" s="215">
        <f>F15/C15</f>
        <v>0.7978723404255319</v>
      </c>
      <c r="I15" s="27">
        <f t="shared" si="1"/>
        <v>1.2606744335914037</v>
      </c>
      <c r="J15" s="84"/>
      <c r="K15" s="84"/>
      <c r="L15" s="85">
        <f aca="true" t="shared" si="4" ref="L15:L88">E15-D15</f>
        <v>212022611</v>
      </c>
      <c r="M15" s="6"/>
      <c r="O15" s="31">
        <f t="shared" si="3"/>
        <v>212022611</v>
      </c>
      <c r="P15" s="4"/>
    </row>
    <row r="16" spans="1:16" ht="21" customHeight="1">
      <c r="A16" s="9" t="s">
        <v>47</v>
      </c>
      <c r="B16" s="83" t="s">
        <v>265</v>
      </c>
      <c r="C16" s="12">
        <f>+C17+C18</f>
        <v>249156800000</v>
      </c>
      <c r="D16" s="12">
        <v>97445973945</v>
      </c>
      <c r="E16" s="12">
        <f>98710687279+7450000</f>
        <v>98718137279</v>
      </c>
      <c r="F16" s="12">
        <f>E16+16183371232</f>
        <v>114901508511</v>
      </c>
      <c r="G16" s="26">
        <f t="shared" si="2"/>
        <v>0.39620888243467567</v>
      </c>
      <c r="H16" s="215">
        <f t="shared" si="0"/>
        <v>0.4611614393466283</v>
      </c>
      <c r="I16" s="27">
        <f t="shared" si="1"/>
        <v>1.1791303822962678</v>
      </c>
      <c r="J16" s="84"/>
      <c r="K16" s="84"/>
      <c r="L16" s="85">
        <f t="shared" si="4"/>
        <v>1272163334</v>
      </c>
      <c r="M16" s="6"/>
      <c r="O16" s="31">
        <f t="shared" si="3"/>
        <v>1272163334</v>
      </c>
      <c r="P16" s="4"/>
    </row>
    <row r="17" spans="1:16" s="8" customFormat="1" ht="21" customHeight="1" hidden="1">
      <c r="A17" s="199" t="s">
        <v>47</v>
      </c>
      <c r="B17" s="20" t="s">
        <v>178</v>
      </c>
      <c r="C17" s="17">
        <v>243512000000</v>
      </c>
      <c r="D17" s="17">
        <v>2835650105</v>
      </c>
      <c r="E17" s="17">
        <f>33422402251-E19-E20</f>
        <v>33037016067</v>
      </c>
      <c r="F17" s="17"/>
      <c r="G17" s="26">
        <f t="shared" si="2"/>
        <v>0.13566894472141003</v>
      </c>
      <c r="H17" s="215">
        <f t="shared" si="0"/>
        <v>0</v>
      </c>
      <c r="I17" s="27">
        <f t="shared" si="1"/>
        <v>0</v>
      </c>
      <c r="J17" s="21"/>
      <c r="K17" s="21"/>
      <c r="L17" s="35"/>
      <c r="M17" s="22"/>
      <c r="O17" s="31"/>
      <c r="P17" s="7"/>
    </row>
    <row r="18" spans="1:16" s="8" customFormat="1" ht="21" customHeight="1" hidden="1">
      <c r="A18" s="199" t="s">
        <v>47</v>
      </c>
      <c r="B18" s="20" t="s">
        <v>179</v>
      </c>
      <c r="C18" s="17">
        <v>5644800000</v>
      </c>
      <c r="D18" s="17">
        <v>832887518</v>
      </c>
      <c r="E18" s="17">
        <f>+E19+E20+E21</f>
        <v>388366184</v>
      </c>
      <c r="F18" s="17"/>
      <c r="G18" s="26">
        <f t="shared" si="2"/>
        <v>0.06880069869614512</v>
      </c>
      <c r="H18" s="215">
        <f t="shared" si="0"/>
        <v>0</v>
      </c>
      <c r="I18" s="27">
        <f t="shared" si="1"/>
        <v>0</v>
      </c>
      <c r="J18" s="21"/>
      <c r="K18" s="21"/>
      <c r="L18" s="35"/>
      <c r="M18" s="22"/>
      <c r="O18" s="31"/>
      <c r="P18" s="7"/>
    </row>
    <row r="19" spans="1:16" s="8" customFormat="1" ht="21" customHeight="1" hidden="1">
      <c r="A19" s="199"/>
      <c r="B19" s="20" t="s">
        <v>180</v>
      </c>
      <c r="C19" s="17"/>
      <c r="D19" s="17"/>
      <c r="E19" s="17">
        <v>75580025</v>
      </c>
      <c r="F19" s="17"/>
      <c r="G19" s="26"/>
      <c r="H19" s="215" t="e">
        <f t="shared" si="0"/>
        <v>#DIV/0!</v>
      </c>
      <c r="I19" s="27" t="e">
        <f t="shared" si="1"/>
        <v>#DIV/0!</v>
      </c>
      <c r="J19" s="21"/>
      <c r="K19" s="21"/>
      <c r="L19" s="35"/>
      <c r="M19" s="22"/>
      <c r="O19" s="31"/>
      <c r="P19" s="7"/>
    </row>
    <row r="20" spans="1:16" s="8" customFormat="1" ht="21" customHeight="1" hidden="1">
      <c r="A20" s="199"/>
      <c r="B20" s="20" t="s">
        <v>181</v>
      </c>
      <c r="C20" s="17"/>
      <c r="D20" s="17"/>
      <c r="E20" s="17">
        <v>309806159</v>
      </c>
      <c r="F20" s="17"/>
      <c r="G20" s="26"/>
      <c r="H20" s="215" t="e">
        <f t="shared" si="0"/>
        <v>#DIV/0!</v>
      </c>
      <c r="I20" s="27" t="e">
        <f t="shared" si="1"/>
        <v>#DIV/0!</v>
      </c>
      <c r="J20" s="21"/>
      <c r="K20" s="21"/>
      <c r="L20" s="35"/>
      <c r="M20" s="22"/>
      <c r="O20" s="31"/>
      <c r="P20" s="7"/>
    </row>
    <row r="21" spans="1:16" s="8" customFormat="1" ht="21" customHeight="1" hidden="1">
      <c r="A21" s="199"/>
      <c r="B21" s="20" t="s">
        <v>198</v>
      </c>
      <c r="C21" s="17"/>
      <c r="D21" s="17"/>
      <c r="E21" s="17">
        <v>2980000</v>
      </c>
      <c r="F21" s="17"/>
      <c r="G21" s="26"/>
      <c r="H21" s="215" t="e">
        <f t="shared" si="0"/>
        <v>#DIV/0!</v>
      </c>
      <c r="I21" s="27" t="e">
        <f t="shared" si="1"/>
        <v>#DIV/0!</v>
      </c>
      <c r="J21" s="21"/>
      <c r="K21" s="21"/>
      <c r="L21" s="35"/>
      <c r="M21" s="22"/>
      <c r="O21" s="31"/>
      <c r="P21" s="7"/>
    </row>
    <row r="22" spans="1:16" s="8" customFormat="1" ht="21" customHeight="1" hidden="1">
      <c r="A22" s="180" t="s">
        <v>47</v>
      </c>
      <c r="B22" s="20" t="s">
        <v>86</v>
      </c>
      <c r="C22" s="17">
        <v>0</v>
      </c>
      <c r="D22" s="17"/>
      <c r="E22" s="74">
        <v>0</v>
      </c>
      <c r="F22" s="74"/>
      <c r="G22" s="26"/>
      <c r="H22" s="215" t="e">
        <f t="shared" si="0"/>
        <v>#DIV/0!</v>
      </c>
      <c r="I22" s="27" t="e">
        <f t="shared" si="1"/>
        <v>#DIV/0!</v>
      </c>
      <c r="J22" s="21"/>
      <c r="K22" s="21"/>
      <c r="L22" s="35">
        <f t="shared" si="4"/>
        <v>0</v>
      </c>
      <c r="M22" s="22"/>
      <c r="O22" s="31">
        <f t="shared" si="3"/>
        <v>0</v>
      </c>
      <c r="P22" s="7"/>
    </row>
    <row r="23" spans="1:16" ht="21" customHeight="1">
      <c r="A23" s="9" t="s">
        <v>47</v>
      </c>
      <c r="B23" s="83" t="s">
        <v>182</v>
      </c>
      <c r="C23" s="12">
        <v>4313400000</v>
      </c>
      <c r="D23" s="12">
        <v>2144409615</v>
      </c>
      <c r="E23" s="193">
        <f>674863641+745549089+114745832</f>
        <v>1535158562</v>
      </c>
      <c r="F23" s="193">
        <f>E23+187495832+189418469+23355311</f>
        <v>1935428174</v>
      </c>
      <c r="G23" s="26">
        <f aca="true" t="shared" si="5" ref="G23:G37">E23/C23</f>
        <v>0.35590452125933136</v>
      </c>
      <c r="H23" s="215">
        <f t="shared" si="0"/>
        <v>0.44870129688876526</v>
      </c>
      <c r="I23" s="27">
        <f t="shared" si="1"/>
        <v>0.9025459317388856</v>
      </c>
      <c r="J23" s="84"/>
      <c r="K23" s="84"/>
      <c r="L23" s="85">
        <f t="shared" si="4"/>
        <v>-609251053</v>
      </c>
      <c r="M23" s="6"/>
      <c r="O23" s="31">
        <f t="shared" si="3"/>
        <v>-609251053</v>
      </c>
      <c r="P23" s="4"/>
    </row>
    <row r="24" spans="1:16" ht="21" customHeight="1">
      <c r="A24" s="9" t="s">
        <v>47</v>
      </c>
      <c r="B24" s="83" t="s">
        <v>45</v>
      </c>
      <c r="C24" s="12">
        <v>2000000000</v>
      </c>
      <c r="D24" s="12">
        <v>46440000</v>
      </c>
      <c r="E24" s="12">
        <f>41360000+23500000</f>
        <v>64860000</v>
      </c>
      <c r="F24" s="12">
        <f>E24+31310000</f>
        <v>96170000</v>
      </c>
      <c r="G24" s="26">
        <f t="shared" si="5"/>
        <v>0.03243</v>
      </c>
      <c r="H24" s="215">
        <f t="shared" si="0"/>
        <v>0.048085</v>
      </c>
      <c r="I24" s="27">
        <f t="shared" si="1"/>
        <v>2.0708440999138675</v>
      </c>
      <c r="J24" s="84"/>
      <c r="K24" s="84"/>
      <c r="L24" s="85">
        <f t="shared" si="4"/>
        <v>18420000</v>
      </c>
      <c r="M24" s="6"/>
      <c r="O24" s="31">
        <f t="shared" si="3"/>
        <v>18420000</v>
      </c>
      <c r="P24" s="4"/>
    </row>
    <row r="25" spans="1:16" ht="21" customHeight="1">
      <c r="A25" s="156" t="s">
        <v>47</v>
      </c>
      <c r="B25" s="83" t="s">
        <v>266</v>
      </c>
      <c r="C25" s="12">
        <v>676400000</v>
      </c>
      <c r="D25" s="12">
        <f>211230000</f>
        <v>211230000</v>
      </c>
      <c r="E25" s="12">
        <f>216964195</f>
        <v>216964195</v>
      </c>
      <c r="F25" s="12">
        <f>E25+49911615</f>
        <v>266875810</v>
      </c>
      <c r="G25" s="26">
        <f t="shared" si="5"/>
        <v>0.32076315050266113</v>
      </c>
      <c r="H25" s="215">
        <f>F25/C25</f>
        <v>0.39455323772915435</v>
      </c>
      <c r="I25" s="27">
        <f t="shared" si="1"/>
        <v>1.2634370591298585</v>
      </c>
      <c r="J25" s="84"/>
      <c r="K25" s="84"/>
      <c r="L25" s="85"/>
      <c r="M25" s="6"/>
      <c r="O25" s="31"/>
      <c r="P25" s="4"/>
    </row>
    <row r="26" spans="1:16" ht="21" customHeight="1">
      <c r="A26" s="9" t="s">
        <v>47</v>
      </c>
      <c r="B26" s="83" t="s">
        <v>88</v>
      </c>
      <c r="C26" s="12">
        <v>9587000000</v>
      </c>
      <c r="D26" s="12">
        <f>3283907344-D25+4874046350</f>
        <v>7946723694</v>
      </c>
      <c r="E26" s="12">
        <f>3682972083</f>
        <v>3682972083</v>
      </c>
      <c r="F26" s="12">
        <f>E26+797294362</f>
        <v>4480266445</v>
      </c>
      <c r="G26" s="26">
        <f t="shared" si="5"/>
        <v>0.3841631462396996</v>
      </c>
      <c r="H26" s="215">
        <f t="shared" si="0"/>
        <v>0.4673272603525608</v>
      </c>
      <c r="I26" s="27">
        <f t="shared" si="1"/>
        <v>0.5637878725269796</v>
      </c>
      <c r="J26" s="84"/>
      <c r="K26" s="84"/>
      <c r="L26" s="85">
        <f>E26-D26</f>
        <v>-4263751611</v>
      </c>
      <c r="M26" s="6"/>
      <c r="O26" s="31">
        <f>E26-D26</f>
        <v>-4263751611</v>
      </c>
      <c r="P26" s="4"/>
    </row>
    <row r="27" spans="1:21" ht="21" customHeight="1">
      <c r="A27" s="9" t="s">
        <v>47</v>
      </c>
      <c r="B27" s="83" t="s">
        <v>87</v>
      </c>
      <c r="C27" s="12">
        <f>+C28+C34+C35+C36++C37+21344000000</f>
        <v>41580400000</v>
      </c>
      <c r="D27" s="12">
        <v>14122424685</v>
      </c>
      <c r="E27" s="12">
        <v>15058643824</v>
      </c>
      <c r="F27" s="12">
        <f>E27+1496316906+1900000000</f>
        <v>18454960730</v>
      </c>
      <c r="G27" s="26">
        <f t="shared" si="5"/>
        <v>0.3621572621716001</v>
      </c>
      <c r="H27" s="215">
        <f t="shared" si="0"/>
        <v>0.4438379796731152</v>
      </c>
      <c r="I27" s="27">
        <f t="shared" si="1"/>
        <v>1.3067841494387122</v>
      </c>
      <c r="J27" s="84"/>
      <c r="K27" s="84"/>
      <c r="L27" s="85">
        <f t="shared" si="4"/>
        <v>936219139</v>
      </c>
      <c r="M27" s="6"/>
      <c r="O27" s="31">
        <f t="shared" si="3"/>
        <v>936219139</v>
      </c>
      <c r="P27" s="4"/>
      <c r="U27" s="32">
        <f>D27-'[1]02'!$E$52</f>
        <v>0</v>
      </c>
    </row>
    <row r="28" spans="1:16" s="98" customFormat="1" ht="21" customHeight="1" hidden="1">
      <c r="A28" s="200" t="s">
        <v>227</v>
      </c>
      <c r="B28" s="194" t="s">
        <v>236</v>
      </c>
      <c r="C28" s="193">
        <f>+C29+C30</f>
        <v>11921600000</v>
      </c>
      <c r="D28" s="193">
        <f>+D29+D30</f>
        <v>2058017262</v>
      </c>
      <c r="E28" s="193">
        <f>+E29+E30</f>
        <v>1974396542</v>
      </c>
      <c r="F28" s="193"/>
      <c r="G28" s="26">
        <f t="shared" si="5"/>
        <v>0.1656150635820695</v>
      </c>
      <c r="H28" s="215">
        <f t="shared" si="0"/>
        <v>0</v>
      </c>
      <c r="I28" s="27">
        <f t="shared" si="1"/>
        <v>0</v>
      </c>
      <c r="J28" s="195"/>
      <c r="K28" s="195"/>
      <c r="L28" s="196"/>
      <c r="M28" s="197"/>
      <c r="O28" s="91"/>
      <c r="P28" s="198"/>
    </row>
    <row r="29" spans="1:17" s="90" customFormat="1" ht="21" customHeight="1" hidden="1">
      <c r="A29" s="201" t="s">
        <v>47</v>
      </c>
      <c r="B29" s="86" t="s">
        <v>228</v>
      </c>
      <c r="C29" s="74">
        <v>4364600000</v>
      </c>
      <c r="D29" s="74">
        <v>848418962</v>
      </c>
      <c r="E29" s="74">
        <v>746396542</v>
      </c>
      <c r="F29" s="74"/>
      <c r="G29" s="82">
        <f t="shared" si="5"/>
        <v>0.17101144251477798</v>
      </c>
      <c r="H29" s="215">
        <f t="shared" si="0"/>
        <v>0</v>
      </c>
      <c r="I29" s="27">
        <f t="shared" si="1"/>
        <v>0</v>
      </c>
      <c r="J29" s="87"/>
      <c r="K29" s="87"/>
      <c r="L29" s="88"/>
      <c r="M29" s="89"/>
      <c r="O29" s="157"/>
      <c r="P29" s="92">
        <v>104741786</v>
      </c>
      <c r="Q29" s="92">
        <v>126357060</v>
      </c>
    </row>
    <row r="30" spans="1:17" s="90" customFormat="1" ht="21" customHeight="1" hidden="1">
      <c r="A30" s="201" t="s">
        <v>47</v>
      </c>
      <c r="B30" s="93" t="s">
        <v>229</v>
      </c>
      <c r="C30" s="74">
        <f>+C31+C32+C33</f>
        <v>7557000000</v>
      </c>
      <c r="D30" s="74">
        <v>1209598300</v>
      </c>
      <c r="E30" s="74">
        <f>+E31+E32+E33</f>
        <v>1228000000</v>
      </c>
      <c r="F30" s="74"/>
      <c r="G30" s="82">
        <f t="shared" si="5"/>
        <v>0.16249834590445944</v>
      </c>
      <c r="H30" s="215">
        <f t="shared" si="0"/>
        <v>0</v>
      </c>
      <c r="I30" s="27">
        <f t="shared" si="1"/>
        <v>0</v>
      </c>
      <c r="J30" s="87"/>
      <c r="K30" s="87"/>
      <c r="L30" s="88"/>
      <c r="M30" s="89"/>
      <c r="O30" s="157"/>
      <c r="P30" s="92">
        <v>45362305</v>
      </c>
      <c r="Q30" s="92">
        <v>149425800</v>
      </c>
    </row>
    <row r="31" spans="1:16" s="90" customFormat="1" ht="21" customHeight="1" hidden="1">
      <c r="A31" s="201"/>
      <c r="B31" s="93" t="s">
        <v>197</v>
      </c>
      <c r="C31" s="74">
        <v>3205000000</v>
      </c>
      <c r="D31" s="74"/>
      <c r="E31" s="74"/>
      <c r="F31" s="74"/>
      <c r="G31" s="26">
        <f t="shared" si="5"/>
        <v>0</v>
      </c>
      <c r="H31" s="215">
        <f t="shared" si="0"/>
        <v>0</v>
      </c>
      <c r="I31" s="27" t="e">
        <f t="shared" si="1"/>
        <v>#DIV/0!</v>
      </c>
      <c r="J31" s="87"/>
      <c r="K31" s="87"/>
      <c r="L31" s="88"/>
      <c r="M31" s="89"/>
      <c r="O31" s="91"/>
      <c r="P31" s="92"/>
    </row>
    <row r="32" spans="1:16" s="90" customFormat="1" ht="21" customHeight="1" hidden="1">
      <c r="A32" s="201"/>
      <c r="B32" s="86" t="s">
        <v>195</v>
      </c>
      <c r="C32" s="74">
        <v>995000000</v>
      </c>
      <c r="D32" s="74"/>
      <c r="E32" s="74"/>
      <c r="F32" s="74"/>
      <c r="G32" s="26">
        <f t="shared" si="5"/>
        <v>0</v>
      </c>
      <c r="H32" s="215">
        <f t="shared" si="0"/>
        <v>0</v>
      </c>
      <c r="I32" s="27" t="e">
        <f t="shared" si="1"/>
        <v>#DIV/0!</v>
      </c>
      <c r="J32" s="87"/>
      <c r="K32" s="87"/>
      <c r="L32" s="88"/>
      <c r="M32" s="89"/>
      <c r="O32" s="91"/>
      <c r="P32" s="92"/>
    </row>
    <row r="33" spans="1:16" s="90" customFormat="1" ht="21" customHeight="1" hidden="1">
      <c r="A33" s="201"/>
      <c r="B33" s="86" t="s">
        <v>196</v>
      </c>
      <c r="C33" s="74">
        <v>3357000000</v>
      </c>
      <c r="D33" s="74"/>
      <c r="E33" s="74">
        <v>1228000000</v>
      </c>
      <c r="F33" s="74"/>
      <c r="G33" s="26">
        <f t="shared" si="5"/>
        <v>0.365802800119154</v>
      </c>
      <c r="H33" s="215">
        <f t="shared" si="0"/>
        <v>0</v>
      </c>
      <c r="I33" s="27" t="e">
        <f t="shared" si="1"/>
        <v>#DIV/0!</v>
      </c>
      <c r="J33" s="87"/>
      <c r="K33" s="87"/>
      <c r="L33" s="88"/>
      <c r="M33" s="89"/>
      <c r="O33" s="91"/>
      <c r="P33" s="92"/>
    </row>
    <row r="34" spans="1:17" s="98" customFormat="1" ht="21" customHeight="1" hidden="1">
      <c r="A34" s="200" t="s">
        <v>230</v>
      </c>
      <c r="B34" s="194" t="s">
        <v>183</v>
      </c>
      <c r="C34" s="193">
        <v>872000000</v>
      </c>
      <c r="D34" s="193">
        <v>293563000</v>
      </c>
      <c r="E34" s="193">
        <v>68324000</v>
      </c>
      <c r="F34" s="193"/>
      <c r="G34" s="26">
        <f t="shared" si="5"/>
        <v>0.0783532110091743</v>
      </c>
      <c r="H34" s="215">
        <f t="shared" si="0"/>
        <v>0</v>
      </c>
      <c r="I34" s="27">
        <f t="shared" si="1"/>
        <v>0</v>
      </c>
      <c r="J34" s="195"/>
      <c r="K34" s="195"/>
      <c r="L34" s="196"/>
      <c r="M34" s="197"/>
      <c r="O34" s="91"/>
      <c r="P34" s="198">
        <v>93887104</v>
      </c>
      <c r="Q34" s="198">
        <v>115642530</v>
      </c>
    </row>
    <row r="35" spans="1:17" s="98" customFormat="1" ht="21" customHeight="1" hidden="1">
      <c r="A35" s="200" t="s">
        <v>231</v>
      </c>
      <c r="B35" s="194" t="s">
        <v>184</v>
      </c>
      <c r="C35" s="193">
        <v>2130000000</v>
      </c>
      <c r="D35" s="193"/>
      <c r="E35" s="193">
        <v>1875000000</v>
      </c>
      <c r="F35" s="193"/>
      <c r="G35" s="26">
        <f t="shared" si="5"/>
        <v>0.8802816901408451</v>
      </c>
      <c r="H35" s="215">
        <f t="shared" si="0"/>
        <v>0</v>
      </c>
      <c r="I35" s="27" t="e">
        <f t="shared" si="1"/>
        <v>#DIV/0!</v>
      </c>
      <c r="J35" s="195"/>
      <c r="K35" s="195"/>
      <c r="L35" s="196"/>
      <c r="M35" s="197"/>
      <c r="O35" s="91"/>
      <c r="P35" s="198">
        <v>95110592</v>
      </c>
      <c r="Q35" s="198">
        <v>152358200</v>
      </c>
    </row>
    <row r="36" spans="1:17" s="98" customFormat="1" ht="21" customHeight="1" hidden="1">
      <c r="A36" s="200" t="s">
        <v>232</v>
      </c>
      <c r="B36" s="194" t="s">
        <v>185</v>
      </c>
      <c r="C36" s="193">
        <v>2642000000</v>
      </c>
      <c r="D36" s="193"/>
      <c r="E36" s="193"/>
      <c r="F36" s="193"/>
      <c r="G36" s="26">
        <f t="shared" si="5"/>
        <v>0</v>
      </c>
      <c r="H36" s="215">
        <f t="shared" si="0"/>
        <v>0</v>
      </c>
      <c r="I36" s="27" t="e">
        <f t="shared" si="1"/>
        <v>#DIV/0!</v>
      </c>
      <c r="J36" s="195"/>
      <c r="K36" s="195"/>
      <c r="L36" s="196"/>
      <c r="M36" s="197"/>
      <c r="O36" s="91"/>
      <c r="P36" s="198">
        <v>55091495</v>
      </c>
      <c r="Q36" s="198">
        <v>120672122</v>
      </c>
    </row>
    <row r="37" spans="1:17" s="98" customFormat="1" ht="21" customHeight="1" hidden="1">
      <c r="A37" s="200" t="s">
        <v>233</v>
      </c>
      <c r="B37" s="194" t="s">
        <v>186</v>
      </c>
      <c r="C37" s="193">
        <f>+C38+C39+C40+C41</f>
        <v>2670800000</v>
      </c>
      <c r="D37" s="193">
        <v>470789596</v>
      </c>
      <c r="E37" s="193">
        <f>+E38+E39+E40+E41</f>
        <v>342001978</v>
      </c>
      <c r="F37" s="193"/>
      <c r="G37" s="26">
        <f t="shared" si="5"/>
        <v>0.12805226074584394</v>
      </c>
      <c r="H37" s="215">
        <f t="shared" si="0"/>
        <v>0</v>
      </c>
      <c r="I37" s="27">
        <f t="shared" si="1"/>
        <v>0</v>
      </c>
      <c r="J37" s="195"/>
      <c r="K37" s="195"/>
      <c r="L37" s="196"/>
      <c r="M37" s="197"/>
      <c r="O37" s="91"/>
      <c r="P37" s="198">
        <v>9536000</v>
      </c>
      <c r="Q37" s="198">
        <v>129501790</v>
      </c>
    </row>
    <row r="38" spans="1:16" s="8" customFormat="1" ht="21" customHeight="1" hidden="1">
      <c r="A38" s="199"/>
      <c r="B38" s="20" t="s">
        <v>187</v>
      </c>
      <c r="C38" s="17">
        <v>1065800000</v>
      </c>
      <c r="D38" s="17"/>
      <c r="E38" s="17">
        <v>164898362</v>
      </c>
      <c r="F38" s="17"/>
      <c r="G38" s="26"/>
      <c r="H38" s="215">
        <f t="shared" si="0"/>
        <v>0</v>
      </c>
      <c r="I38" s="27" t="e">
        <f t="shared" si="1"/>
        <v>#DIV/0!</v>
      </c>
      <c r="J38" s="21"/>
      <c r="K38" s="21"/>
      <c r="L38" s="35"/>
      <c r="M38" s="22"/>
      <c r="O38" s="31"/>
      <c r="P38" s="7"/>
    </row>
    <row r="39" spans="1:16" s="8" customFormat="1" ht="21" customHeight="1" hidden="1">
      <c r="A39" s="199"/>
      <c r="B39" s="20" t="s">
        <v>188</v>
      </c>
      <c r="C39" s="17">
        <v>900000000</v>
      </c>
      <c r="D39" s="17"/>
      <c r="E39" s="17">
        <v>92088182</v>
      </c>
      <c r="F39" s="17"/>
      <c r="G39" s="26"/>
      <c r="H39" s="215">
        <f t="shared" si="0"/>
        <v>0</v>
      </c>
      <c r="I39" s="27" t="e">
        <f t="shared" si="1"/>
        <v>#DIV/0!</v>
      </c>
      <c r="J39" s="21"/>
      <c r="K39" s="21"/>
      <c r="L39" s="35"/>
      <c r="M39" s="22"/>
      <c r="O39" s="31"/>
      <c r="P39" s="7"/>
    </row>
    <row r="40" spans="1:16" s="8" customFormat="1" ht="21" customHeight="1" hidden="1">
      <c r="A40" s="199"/>
      <c r="B40" s="20" t="s">
        <v>189</v>
      </c>
      <c r="C40" s="17">
        <v>505000000</v>
      </c>
      <c r="D40" s="17"/>
      <c r="E40" s="17">
        <v>85015434</v>
      </c>
      <c r="F40" s="17"/>
      <c r="G40" s="26"/>
      <c r="H40" s="215">
        <f t="shared" si="0"/>
        <v>0</v>
      </c>
      <c r="I40" s="27" t="e">
        <f t="shared" si="1"/>
        <v>#DIV/0!</v>
      </c>
      <c r="J40" s="21"/>
      <c r="K40" s="21"/>
      <c r="L40" s="35"/>
      <c r="M40" s="22"/>
      <c r="O40" s="31"/>
      <c r="P40" s="7"/>
    </row>
    <row r="41" spans="1:16" s="8" customFormat="1" ht="21" customHeight="1" hidden="1">
      <c r="A41" s="199"/>
      <c r="B41" s="20" t="s">
        <v>190</v>
      </c>
      <c r="C41" s="17">
        <v>200000000</v>
      </c>
      <c r="D41" s="17"/>
      <c r="E41" s="17"/>
      <c r="F41" s="17"/>
      <c r="G41" s="26"/>
      <c r="H41" s="215">
        <f t="shared" si="0"/>
        <v>0</v>
      </c>
      <c r="I41" s="27" t="e">
        <f t="shared" si="1"/>
        <v>#DIV/0!</v>
      </c>
      <c r="J41" s="21"/>
      <c r="K41" s="21"/>
      <c r="L41" s="35"/>
      <c r="M41" s="22"/>
      <c r="O41" s="31"/>
      <c r="P41" s="7"/>
    </row>
    <row r="42" spans="1:17" ht="21" customHeight="1">
      <c r="A42" s="9" t="s">
        <v>47</v>
      </c>
      <c r="B42" s="83" t="s">
        <v>127</v>
      </c>
      <c r="C42" s="12">
        <f>+C43+C44+C46</f>
        <v>88990500000</v>
      </c>
      <c r="D42" s="12">
        <f>31226721479+14000000</f>
        <v>31240721479</v>
      </c>
      <c r="E42" s="12">
        <f>39366843537</f>
        <v>39366843537</v>
      </c>
      <c r="F42" s="12">
        <f>E42+7412448912+3155623623</f>
        <v>49934916072</v>
      </c>
      <c r="G42" s="26">
        <f aca="true" t="shared" si="6" ref="G42:G51">E42/C42</f>
        <v>0.44237130409425723</v>
      </c>
      <c r="H42" s="215">
        <f t="shared" si="0"/>
        <v>0.5611263682303167</v>
      </c>
      <c r="I42" s="27">
        <f t="shared" si="1"/>
        <v>1.598391897113075</v>
      </c>
      <c r="J42" s="84"/>
      <c r="K42" s="84"/>
      <c r="L42" s="85">
        <f t="shared" si="4"/>
        <v>8126122058</v>
      </c>
      <c r="M42" s="6"/>
      <c r="O42" s="31">
        <f t="shared" si="3"/>
        <v>8126122058</v>
      </c>
      <c r="P42" s="4">
        <v>144381144</v>
      </c>
      <c r="Q42" s="4">
        <v>112292768</v>
      </c>
    </row>
    <row r="43" spans="1:17" ht="21" customHeight="1" hidden="1">
      <c r="A43" s="156" t="s">
        <v>47</v>
      </c>
      <c r="B43" s="83" t="s">
        <v>191</v>
      </c>
      <c r="C43" s="12">
        <v>54465100000</v>
      </c>
      <c r="D43" s="12">
        <v>5448581687</v>
      </c>
      <c r="E43" s="12">
        <f>6572742616+6832591518-E46-E44-1797279000+385366550</f>
        <v>6579135355</v>
      </c>
      <c r="F43" s="12"/>
      <c r="G43" s="26">
        <f t="shared" si="6"/>
        <v>0.12079543331417733</v>
      </c>
      <c r="H43" s="215">
        <f t="shared" si="0"/>
        <v>0</v>
      </c>
      <c r="I43" s="27">
        <f t="shared" si="1"/>
        <v>0</v>
      </c>
      <c r="J43" s="84"/>
      <c r="K43" s="84"/>
      <c r="L43" s="85"/>
      <c r="M43" s="6"/>
      <c r="O43" s="31"/>
      <c r="P43" s="4">
        <v>131708699</v>
      </c>
      <c r="Q43" s="4">
        <v>125531692</v>
      </c>
    </row>
    <row r="44" spans="1:16" ht="21" customHeight="1" hidden="1">
      <c r="A44" s="156" t="s">
        <v>47</v>
      </c>
      <c r="B44" s="83" t="s">
        <v>192</v>
      </c>
      <c r="C44" s="12">
        <v>17111100000</v>
      </c>
      <c r="D44" s="12">
        <v>3144336000</v>
      </c>
      <c r="E44" s="12">
        <v>3448766839</v>
      </c>
      <c r="F44" s="12"/>
      <c r="G44" s="26">
        <f t="shared" si="6"/>
        <v>0.2015514396502855</v>
      </c>
      <c r="H44" s="215">
        <f t="shared" si="0"/>
        <v>0</v>
      </c>
      <c r="I44" s="27">
        <f t="shared" si="1"/>
        <v>0</v>
      </c>
      <c r="J44" s="84"/>
      <c r="K44" s="84"/>
      <c r="L44" s="85"/>
      <c r="M44" s="6"/>
      <c r="O44" s="31"/>
      <c r="P44" s="4">
        <v>113747200</v>
      </c>
    </row>
    <row r="45" spans="1:16" ht="21" customHeight="1" hidden="1">
      <c r="A45" s="156" t="s">
        <v>47</v>
      </c>
      <c r="B45" s="83" t="s">
        <v>199</v>
      </c>
      <c r="C45" s="12"/>
      <c r="D45" s="12"/>
      <c r="E45" s="12">
        <v>2074482000</v>
      </c>
      <c r="F45" s="12"/>
      <c r="G45" s="26" t="e">
        <f t="shared" si="6"/>
        <v>#DIV/0!</v>
      </c>
      <c r="H45" s="215" t="e">
        <f t="shared" si="0"/>
        <v>#DIV/0!</v>
      </c>
      <c r="I45" s="27" t="e">
        <f t="shared" si="1"/>
        <v>#DIV/0!</v>
      </c>
      <c r="J45" s="84"/>
      <c r="K45" s="84"/>
      <c r="L45" s="85"/>
      <c r="M45" s="6"/>
      <c r="O45" s="31"/>
      <c r="P45" s="4"/>
    </row>
    <row r="46" spans="1:16" ht="21" customHeight="1" hidden="1">
      <c r="A46" s="156" t="s">
        <v>47</v>
      </c>
      <c r="B46" s="83" t="s">
        <v>237</v>
      </c>
      <c r="C46" s="12">
        <v>17414300000</v>
      </c>
      <c r="D46" s="12">
        <v>1774901046</v>
      </c>
      <c r="E46" s="12">
        <v>1965519490</v>
      </c>
      <c r="F46" s="12"/>
      <c r="G46" s="26">
        <f t="shared" si="6"/>
        <v>0.11286813078906416</v>
      </c>
      <c r="H46" s="215">
        <f t="shared" si="0"/>
        <v>0</v>
      </c>
      <c r="I46" s="27">
        <f t="shared" si="1"/>
        <v>0</v>
      </c>
      <c r="J46" s="84"/>
      <c r="K46" s="84"/>
      <c r="L46" s="85"/>
      <c r="M46" s="6"/>
      <c r="O46" s="31"/>
      <c r="P46" s="4">
        <v>140171203</v>
      </c>
    </row>
    <row r="47" spans="1:17" ht="35.25" customHeight="1">
      <c r="A47" s="9" t="s">
        <v>47</v>
      </c>
      <c r="B47" s="83" t="s">
        <v>137</v>
      </c>
      <c r="C47" s="12">
        <f>300000000+35000000</f>
        <v>335000000</v>
      </c>
      <c r="D47" s="12">
        <v>300000000</v>
      </c>
      <c r="E47" s="12">
        <v>300000000</v>
      </c>
      <c r="F47" s="12">
        <v>300000000</v>
      </c>
      <c r="G47" s="26">
        <f t="shared" si="6"/>
        <v>0.8955223880597015</v>
      </c>
      <c r="H47" s="215">
        <f t="shared" si="0"/>
        <v>0.8955223880597015</v>
      </c>
      <c r="I47" s="27">
        <f t="shared" si="1"/>
        <v>1</v>
      </c>
      <c r="J47" s="84"/>
      <c r="K47" s="84"/>
      <c r="L47" s="85">
        <f t="shared" si="4"/>
        <v>0</v>
      </c>
      <c r="M47" s="6"/>
      <c r="O47" s="31">
        <f t="shared" si="3"/>
        <v>0</v>
      </c>
      <c r="P47" s="4">
        <f>+SUM(P29:P46)</f>
        <v>933737528</v>
      </c>
      <c r="Q47" s="4">
        <f>+SUM(Q29:Q46)</f>
        <v>1031781962</v>
      </c>
    </row>
    <row r="48" spans="1:16" ht="24" customHeight="1" hidden="1">
      <c r="A48" s="156" t="s">
        <v>47</v>
      </c>
      <c r="B48" s="83" t="s">
        <v>193</v>
      </c>
      <c r="C48" s="12"/>
      <c r="D48" s="12"/>
      <c r="E48" s="12"/>
      <c r="F48" s="12"/>
      <c r="G48" s="26" t="e">
        <f t="shared" si="6"/>
        <v>#DIV/0!</v>
      </c>
      <c r="H48" s="214" t="e">
        <f t="shared" si="0"/>
        <v>#DIV/0!</v>
      </c>
      <c r="I48" s="25" t="e">
        <f t="shared" si="1"/>
        <v>#DIV/0!</v>
      </c>
      <c r="J48" s="84"/>
      <c r="K48" s="84"/>
      <c r="L48" s="85"/>
      <c r="M48" s="6"/>
      <c r="O48" s="31"/>
      <c r="P48" s="4">
        <f>+P47+Q47</f>
        <v>1965519490</v>
      </c>
    </row>
    <row r="49" spans="1:16" s="3" customFormat="1" ht="24.75" customHeight="1">
      <c r="A49" s="9">
        <v>3</v>
      </c>
      <c r="B49" s="10" t="s">
        <v>132</v>
      </c>
      <c r="C49" s="11">
        <v>600000000</v>
      </c>
      <c r="D49" s="11"/>
      <c r="E49" s="11"/>
      <c r="F49" s="11"/>
      <c r="G49" s="24">
        <f t="shared" si="6"/>
        <v>0</v>
      </c>
      <c r="H49" s="214"/>
      <c r="I49" s="25"/>
      <c r="J49" s="5"/>
      <c r="K49" s="5"/>
      <c r="L49" s="35">
        <f t="shared" si="4"/>
        <v>0</v>
      </c>
      <c r="O49" s="31">
        <f t="shared" si="3"/>
        <v>0</v>
      </c>
      <c r="P49" s="5"/>
    </row>
    <row r="50" spans="1:16" s="3" customFormat="1" ht="24.75" customHeight="1">
      <c r="A50" s="9">
        <v>4</v>
      </c>
      <c r="B50" s="10" t="s">
        <v>234</v>
      </c>
      <c r="C50" s="11">
        <v>7488000000</v>
      </c>
      <c r="D50" s="11">
        <v>4874046350</v>
      </c>
      <c r="E50" s="11">
        <v>2560000000</v>
      </c>
      <c r="F50" s="11">
        <v>3000000000</v>
      </c>
      <c r="G50" s="24">
        <f t="shared" si="6"/>
        <v>0.3418803418803419</v>
      </c>
      <c r="H50" s="214">
        <f t="shared" si="0"/>
        <v>0.40064102564102566</v>
      </c>
      <c r="I50" s="25">
        <f t="shared" si="1"/>
        <v>0.6155050207924264</v>
      </c>
      <c r="J50" s="5"/>
      <c r="K50" s="5"/>
      <c r="L50" s="35">
        <f t="shared" si="4"/>
        <v>-2314046350</v>
      </c>
      <c r="O50" s="31">
        <f t="shared" si="3"/>
        <v>-2314046350</v>
      </c>
      <c r="P50" s="5">
        <v>4979605000</v>
      </c>
    </row>
    <row r="51" spans="1:16" s="3" customFormat="1" ht="24.75" customHeight="1">
      <c r="A51" s="9">
        <v>5</v>
      </c>
      <c r="B51" s="10" t="s">
        <v>242</v>
      </c>
      <c r="C51" s="11">
        <v>2644000000</v>
      </c>
      <c r="D51" s="11">
        <v>14000000</v>
      </c>
      <c r="E51" s="11">
        <v>640000000</v>
      </c>
      <c r="F51" s="11">
        <v>2644000000</v>
      </c>
      <c r="G51" s="24">
        <f t="shared" si="6"/>
        <v>0.24205748865355523</v>
      </c>
      <c r="H51" s="214">
        <f t="shared" si="0"/>
        <v>1</v>
      </c>
      <c r="I51" s="25"/>
      <c r="J51" s="5"/>
      <c r="K51" s="5"/>
      <c r="L51" s="35"/>
      <c r="O51" s="31"/>
      <c r="P51" s="5">
        <v>1797279000</v>
      </c>
    </row>
    <row r="52" spans="1:21" s="3" customFormat="1" ht="24.75" customHeight="1">
      <c r="A52" s="9" t="s">
        <v>15</v>
      </c>
      <c r="B52" s="10" t="s">
        <v>85</v>
      </c>
      <c r="C52" s="11">
        <f>C53+C69</f>
        <v>0</v>
      </c>
      <c r="D52" s="11">
        <f>D53+D69</f>
        <v>70104249000</v>
      </c>
      <c r="E52" s="11">
        <f>E53+E69</f>
        <v>4612704000</v>
      </c>
      <c r="F52" s="11">
        <f>F53+F69</f>
        <v>4612704000</v>
      </c>
      <c r="G52" s="24"/>
      <c r="H52" s="214"/>
      <c r="I52" s="25">
        <f t="shared" si="1"/>
        <v>0.0657977806737506</v>
      </c>
      <c r="J52" s="5"/>
      <c r="K52" s="5"/>
      <c r="L52" s="35">
        <f t="shared" si="4"/>
        <v>-65491545000</v>
      </c>
      <c r="O52" s="31">
        <f t="shared" si="3"/>
        <v>-65491545000</v>
      </c>
      <c r="U52" s="202">
        <f>D52-'[2]02'!$E$59</f>
        <v>0</v>
      </c>
    </row>
    <row r="53" spans="1:15" s="3" customFormat="1" ht="25.5" customHeight="1">
      <c r="A53" s="9">
        <v>1</v>
      </c>
      <c r="B53" s="178" t="s">
        <v>90</v>
      </c>
      <c r="C53" s="11">
        <f>C54+C59</f>
        <v>0</v>
      </c>
      <c r="D53" s="11">
        <f>D54+D59</f>
        <v>47946249000</v>
      </c>
      <c r="E53" s="11">
        <f>E54+E59</f>
        <v>4612704000</v>
      </c>
      <c r="F53" s="11">
        <f>F54+F59</f>
        <v>4612704000</v>
      </c>
      <c r="G53" s="24"/>
      <c r="H53" s="214"/>
      <c r="I53" s="25">
        <f t="shared" si="1"/>
        <v>0.09620573238169268</v>
      </c>
      <c r="J53" s="5"/>
      <c r="K53" s="5"/>
      <c r="L53" s="35">
        <f t="shared" si="4"/>
        <v>-43333545000</v>
      </c>
      <c r="O53" s="31">
        <f t="shared" si="3"/>
        <v>-43333545000</v>
      </c>
    </row>
    <row r="54" spans="1:15" s="3" customFormat="1" ht="19.5" customHeight="1">
      <c r="A54" s="9" t="s">
        <v>49</v>
      </c>
      <c r="B54" s="178" t="s">
        <v>89</v>
      </c>
      <c r="C54" s="11">
        <f>C55+C57</f>
        <v>0</v>
      </c>
      <c r="D54" s="11">
        <f>D55+D57</f>
        <v>47946249000</v>
      </c>
      <c r="E54" s="11">
        <f>E55+E57</f>
        <v>4612704000</v>
      </c>
      <c r="F54" s="11">
        <f>F55+F57</f>
        <v>4612704000</v>
      </c>
      <c r="G54" s="24"/>
      <c r="H54" s="214"/>
      <c r="I54" s="25">
        <f t="shared" si="1"/>
        <v>0.09620573238169268</v>
      </c>
      <c r="J54" s="5"/>
      <c r="K54" s="5">
        <f>C54+C76</f>
        <v>0</v>
      </c>
      <c r="L54" s="35">
        <f t="shared" si="4"/>
        <v>-43333545000</v>
      </c>
      <c r="O54" s="31">
        <f t="shared" si="3"/>
        <v>-43333545000</v>
      </c>
    </row>
    <row r="55" spans="1:16" ht="21" customHeight="1">
      <c r="A55" s="9" t="s">
        <v>74</v>
      </c>
      <c r="B55" s="178" t="s">
        <v>91</v>
      </c>
      <c r="C55" s="11">
        <f>C56</f>
        <v>0</v>
      </c>
      <c r="D55" s="11">
        <f>D56</f>
        <v>40928445000</v>
      </c>
      <c r="E55" s="11">
        <f>E56</f>
        <v>4612704000</v>
      </c>
      <c r="F55" s="11">
        <f>F56</f>
        <v>4612704000</v>
      </c>
      <c r="G55" s="24"/>
      <c r="H55" s="214"/>
      <c r="I55" s="25">
        <f t="shared" si="1"/>
        <v>0.11270166750776874</v>
      </c>
      <c r="L55" s="35">
        <f t="shared" si="4"/>
        <v>-36315741000</v>
      </c>
      <c r="O55" s="31">
        <f t="shared" si="3"/>
        <v>-36315741000</v>
      </c>
      <c r="P55" s="32"/>
    </row>
    <row r="56" spans="1:15" s="8" customFormat="1" ht="21" customHeight="1">
      <c r="A56" s="19"/>
      <c r="B56" s="179" t="s">
        <v>92</v>
      </c>
      <c r="C56" s="17"/>
      <c r="D56" s="17">
        <v>40928445000</v>
      </c>
      <c r="E56" s="17">
        <f>4612704000</f>
        <v>4612704000</v>
      </c>
      <c r="F56" s="17">
        <f>E56</f>
        <v>4612704000</v>
      </c>
      <c r="G56" s="26"/>
      <c r="H56" s="214"/>
      <c r="I56" s="27">
        <f t="shared" si="1"/>
        <v>0.11270166750776874</v>
      </c>
      <c r="J56" s="7"/>
      <c r="K56" s="7"/>
      <c r="L56" s="35">
        <f t="shared" si="4"/>
        <v>-36315741000</v>
      </c>
      <c r="O56" s="31">
        <f t="shared" si="3"/>
        <v>-36315741000</v>
      </c>
    </row>
    <row r="57" spans="1:15" ht="21" customHeight="1">
      <c r="A57" s="9" t="s">
        <v>75</v>
      </c>
      <c r="B57" s="178" t="s">
        <v>93</v>
      </c>
      <c r="C57" s="11">
        <f>C58</f>
        <v>0</v>
      </c>
      <c r="D57" s="11">
        <f>D58</f>
        <v>7017804000</v>
      </c>
      <c r="E57" s="11">
        <f>E58</f>
        <v>0</v>
      </c>
      <c r="F57" s="11"/>
      <c r="G57" s="24"/>
      <c r="H57" s="214"/>
      <c r="I57" s="25">
        <f t="shared" si="1"/>
        <v>0</v>
      </c>
      <c r="K57" s="4">
        <f>E57+E70</f>
        <v>0</v>
      </c>
      <c r="L57" s="35">
        <f t="shared" si="4"/>
        <v>-7017804000</v>
      </c>
      <c r="O57" s="31">
        <f t="shared" si="3"/>
        <v>-7017804000</v>
      </c>
    </row>
    <row r="58" spans="1:15" s="8" customFormat="1" ht="21" customHeight="1">
      <c r="A58" s="180"/>
      <c r="B58" s="179" t="s">
        <v>92</v>
      </c>
      <c r="C58" s="17"/>
      <c r="D58" s="17">
        <v>7017804000</v>
      </c>
      <c r="E58" s="17"/>
      <c r="F58" s="17"/>
      <c r="G58" s="26"/>
      <c r="H58" s="214"/>
      <c r="I58" s="27">
        <f t="shared" si="1"/>
        <v>0</v>
      </c>
      <c r="J58" s="7"/>
      <c r="K58" s="7">
        <f>K57-'04'!H13</f>
        <v>-1619765570</v>
      </c>
      <c r="L58" s="35">
        <f t="shared" si="4"/>
        <v>-7017804000</v>
      </c>
      <c r="O58" s="31">
        <f t="shared" si="3"/>
        <v>-7017804000</v>
      </c>
    </row>
    <row r="59" spans="1:15" ht="21" customHeight="1" hidden="1">
      <c r="A59" s="9" t="s">
        <v>50</v>
      </c>
      <c r="B59" s="178" t="s">
        <v>94</v>
      </c>
      <c r="C59" s="11"/>
      <c r="D59" s="11">
        <f>D60+D64+D67+D68</f>
        <v>0</v>
      </c>
      <c r="E59" s="11"/>
      <c r="F59" s="11"/>
      <c r="G59" s="24"/>
      <c r="H59" s="214"/>
      <c r="I59" s="25" t="e">
        <f t="shared" si="1"/>
        <v>#DIV/0!</v>
      </c>
      <c r="L59" s="35">
        <f t="shared" si="4"/>
        <v>0</v>
      </c>
      <c r="O59" s="31">
        <f t="shared" si="3"/>
        <v>0</v>
      </c>
    </row>
    <row r="60" spans="1:15" ht="24.75" customHeight="1" hidden="1">
      <c r="A60" s="9" t="s">
        <v>47</v>
      </c>
      <c r="B60" s="181" t="s">
        <v>95</v>
      </c>
      <c r="C60" s="11">
        <f>SUM(C61:C63)</f>
        <v>0</v>
      </c>
      <c r="D60" s="11">
        <f>SUM(D61:D63)</f>
        <v>0</v>
      </c>
      <c r="E60" s="11">
        <f>SUM(E61:E63)</f>
        <v>0</v>
      </c>
      <c r="F60" s="11"/>
      <c r="G60" s="24"/>
      <c r="H60" s="214"/>
      <c r="I60" s="25" t="e">
        <f t="shared" si="1"/>
        <v>#DIV/0!</v>
      </c>
      <c r="L60" s="35">
        <f t="shared" si="4"/>
        <v>0</v>
      </c>
      <c r="O60" s="31">
        <f t="shared" si="3"/>
        <v>0</v>
      </c>
    </row>
    <row r="61" spans="1:15" ht="39.75" customHeight="1" hidden="1">
      <c r="A61" s="19"/>
      <c r="B61" s="182" t="s">
        <v>4</v>
      </c>
      <c r="C61" s="12"/>
      <c r="D61" s="12"/>
      <c r="E61" s="12"/>
      <c r="F61" s="12"/>
      <c r="G61" s="26"/>
      <c r="H61" s="214"/>
      <c r="I61" s="25" t="e">
        <f t="shared" si="1"/>
        <v>#DIV/0!</v>
      </c>
      <c r="L61" s="35">
        <f t="shared" si="4"/>
        <v>0</v>
      </c>
      <c r="O61" s="31">
        <f t="shared" si="3"/>
        <v>0</v>
      </c>
    </row>
    <row r="62" spans="1:15" ht="39.75" customHeight="1" hidden="1">
      <c r="A62" s="19"/>
      <c r="B62" s="182" t="s">
        <v>5</v>
      </c>
      <c r="C62" s="12"/>
      <c r="D62" s="12"/>
      <c r="E62" s="12"/>
      <c r="F62" s="12"/>
      <c r="G62" s="26"/>
      <c r="H62" s="214"/>
      <c r="I62" s="25" t="e">
        <f t="shared" si="1"/>
        <v>#DIV/0!</v>
      </c>
      <c r="L62" s="35">
        <f t="shared" si="4"/>
        <v>0</v>
      </c>
      <c r="M62" s="32">
        <f>C62*30%</f>
        <v>0</v>
      </c>
      <c r="O62" s="31">
        <f t="shared" si="3"/>
        <v>0</v>
      </c>
    </row>
    <row r="63" spans="1:15" ht="48" customHeight="1" hidden="1">
      <c r="A63" s="19"/>
      <c r="B63" s="182" t="s">
        <v>6</v>
      </c>
      <c r="C63" s="12"/>
      <c r="D63" s="12"/>
      <c r="E63" s="12"/>
      <c r="F63" s="12"/>
      <c r="G63" s="26"/>
      <c r="H63" s="214"/>
      <c r="I63" s="25" t="e">
        <f t="shared" si="1"/>
        <v>#DIV/0!</v>
      </c>
      <c r="L63" s="35">
        <f t="shared" si="4"/>
        <v>0</v>
      </c>
      <c r="O63" s="31">
        <f t="shared" si="3"/>
        <v>0</v>
      </c>
    </row>
    <row r="64" spans="1:15" ht="24.75" customHeight="1" hidden="1">
      <c r="A64" s="9" t="s">
        <v>76</v>
      </c>
      <c r="B64" s="181" t="s">
        <v>96</v>
      </c>
      <c r="C64" s="11">
        <f>SUM(C65:C66)</f>
        <v>0</v>
      </c>
      <c r="D64" s="11">
        <f>SUM(D65:D66)</f>
        <v>0</v>
      </c>
      <c r="E64" s="11">
        <f>SUM(E65:E66)</f>
        <v>0</v>
      </c>
      <c r="F64" s="11"/>
      <c r="G64" s="24"/>
      <c r="H64" s="214"/>
      <c r="I64" s="25" t="e">
        <f t="shared" si="1"/>
        <v>#DIV/0!</v>
      </c>
      <c r="L64" s="35">
        <f t="shared" si="4"/>
        <v>0</v>
      </c>
      <c r="O64" s="31">
        <f t="shared" si="3"/>
        <v>0</v>
      </c>
    </row>
    <row r="65" spans="1:15" ht="48.75" customHeight="1" hidden="1">
      <c r="A65" s="19"/>
      <c r="B65" s="182" t="s">
        <v>83</v>
      </c>
      <c r="C65" s="12"/>
      <c r="D65" s="12"/>
      <c r="E65" s="12"/>
      <c r="F65" s="12"/>
      <c r="G65" s="26"/>
      <c r="H65" s="214"/>
      <c r="I65" s="25" t="e">
        <f t="shared" si="1"/>
        <v>#DIV/0!</v>
      </c>
      <c r="L65" s="35">
        <f t="shared" si="4"/>
        <v>0</v>
      </c>
      <c r="O65" s="31">
        <f t="shared" si="3"/>
        <v>0</v>
      </c>
    </row>
    <row r="66" spans="1:15" ht="49.5" customHeight="1" hidden="1">
      <c r="A66" s="19"/>
      <c r="B66" s="182" t="s">
        <v>84</v>
      </c>
      <c r="C66" s="12"/>
      <c r="D66" s="12"/>
      <c r="E66" s="12"/>
      <c r="F66" s="12"/>
      <c r="G66" s="26"/>
      <c r="H66" s="214"/>
      <c r="I66" s="25" t="e">
        <f t="shared" si="1"/>
        <v>#DIV/0!</v>
      </c>
      <c r="L66" s="35">
        <f t="shared" si="4"/>
        <v>0</v>
      </c>
      <c r="M66" s="32">
        <f>C66*55%</f>
        <v>0</v>
      </c>
      <c r="O66" s="31">
        <f t="shared" si="3"/>
        <v>0</v>
      </c>
    </row>
    <row r="67" spans="1:15" ht="33.75" customHeight="1" hidden="1">
      <c r="A67" s="9" t="s">
        <v>77</v>
      </c>
      <c r="B67" s="181" t="s">
        <v>97</v>
      </c>
      <c r="C67" s="11"/>
      <c r="D67" s="11"/>
      <c r="E67" s="11"/>
      <c r="F67" s="11"/>
      <c r="G67" s="24"/>
      <c r="H67" s="214"/>
      <c r="I67" s="25" t="e">
        <f t="shared" si="1"/>
        <v>#DIV/0!</v>
      </c>
      <c r="L67" s="35">
        <f t="shared" si="4"/>
        <v>0</v>
      </c>
      <c r="O67" s="31">
        <f t="shared" si="3"/>
        <v>0</v>
      </c>
    </row>
    <row r="68" spans="1:15" ht="39.75" customHeight="1" hidden="1">
      <c r="A68" s="9" t="s">
        <v>78</v>
      </c>
      <c r="B68" s="181" t="s">
        <v>98</v>
      </c>
      <c r="C68" s="11"/>
      <c r="D68" s="11"/>
      <c r="E68" s="11"/>
      <c r="F68" s="11"/>
      <c r="G68" s="24"/>
      <c r="H68" s="214"/>
      <c r="I68" s="25" t="e">
        <f t="shared" si="1"/>
        <v>#DIV/0!</v>
      </c>
      <c r="L68" s="35">
        <f t="shared" si="4"/>
        <v>0</v>
      </c>
      <c r="O68" s="31">
        <f t="shared" si="3"/>
        <v>0</v>
      </c>
    </row>
    <row r="69" spans="1:15" ht="24.75" customHeight="1">
      <c r="A69" s="9">
        <v>2</v>
      </c>
      <c r="B69" s="181" t="s">
        <v>99</v>
      </c>
      <c r="C69" s="11">
        <f>C70+C72</f>
        <v>0</v>
      </c>
      <c r="D69" s="11">
        <f>D70+D72</f>
        <v>22158000000</v>
      </c>
      <c r="E69" s="11">
        <f>E70+E72</f>
        <v>0</v>
      </c>
      <c r="F69" s="11"/>
      <c r="G69" s="24"/>
      <c r="H69" s="214"/>
      <c r="I69" s="25">
        <f t="shared" si="1"/>
        <v>0</v>
      </c>
      <c r="L69" s="35">
        <f t="shared" si="4"/>
        <v>-22158000000</v>
      </c>
      <c r="O69" s="31">
        <f t="shared" si="3"/>
        <v>-22158000000</v>
      </c>
    </row>
    <row r="70" spans="1:15" s="3" customFormat="1" ht="19.5" customHeight="1">
      <c r="A70" s="9" t="s">
        <v>48</v>
      </c>
      <c r="B70" s="178" t="s">
        <v>89</v>
      </c>
      <c r="C70" s="11">
        <f>C71</f>
        <v>0</v>
      </c>
      <c r="D70" s="11">
        <f>D71</f>
        <v>22158000000</v>
      </c>
      <c r="E70" s="11">
        <f>E71</f>
        <v>0</v>
      </c>
      <c r="F70" s="11"/>
      <c r="G70" s="24"/>
      <c r="H70" s="214"/>
      <c r="I70" s="25">
        <f t="shared" si="1"/>
        <v>0</v>
      </c>
      <c r="J70" s="5"/>
      <c r="K70" s="5"/>
      <c r="L70" s="35">
        <f t="shared" si="4"/>
        <v>-22158000000</v>
      </c>
      <c r="O70" s="31">
        <f t="shared" si="3"/>
        <v>-22158000000</v>
      </c>
    </row>
    <row r="71" spans="1:15" s="8" customFormat="1" ht="19.5" customHeight="1">
      <c r="A71" s="19"/>
      <c r="B71" s="179" t="s">
        <v>92</v>
      </c>
      <c r="C71" s="17"/>
      <c r="D71" s="17">
        <v>22158000000</v>
      </c>
      <c r="E71" s="17"/>
      <c r="F71" s="17"/>
      <c r="G71" s="26"/>
      <c r="H71" s="214"/>
      <c r="I71" s="27">
        <f t="shared" si="1"/>
        <v>0</v>
      </c>
      <c r="J71" s="7"/>
      <c r="K71" s="7"/>
      <c r="L71" s="35">
        <f t="shared" si="4"/>
        <v>-22158000000</v>
      </c>
      <c r="O71" s="31">
        <f t="shared" si="3"/>
        <v>-22158000000</v>
      </c>
    </row>
    <row r="72" spans="1:15" s="3" customFormat="1" ht="19.5" customHeight="1" hidden="1">
      <c r="A72" s="9" t="s">
        <v>51</v>
      </c>
      <c r="B72" s="183" t="s">
        <v>94</v>
      </c>
      <c r="C72" s="11">
        <f>SUM(C73:C74)</f>
        <v>0</v>
      </c>
      <c r="D72" s="11"/>
      <c r="E72" s="11">
        <f>SUM(E73:E74)</f>
        <v>0</v>
      </c>
      <c r="F72" s="11"/>
      <c r="G72" s="24"/>
      <c r="H72" s="214"/>
      <c r="I72" s="25" t="e">
        <f t="shared" si="1"/>
        <v>#DIV/0!</v>
      </c>
      <c r="J72" s="5"/>
      <c r="K72" s="5"/>
      <c r="L72" s="35">
        <f t="shared" si="4"/>
        <v>0</v>
      </c>
      <c r="O72" s="31">
        <f t="shared" si="3"/>
        <v>0</v>
      </c>
    </row>
    <row r="73" spans="1:15" ht="99.75" customHeight="1" hidden="1">
      <c r="A73" s="180"/>
      <c r="B73" s="184" t="s">
        <v>106</v>
      </c>
      <c r="C73" s="12"/>
      <c r="D73" s="12"/>
      <c r="E73" s="12"/>
      <c r="F73" s="12"/>
      <c r="G73" s="26"/>
      <c r="H73" s="214"/>
      <c r="I73" s="25" t="e">
        <f aca="true" t="shared" si="7" ref="I73:I83">F73/D73</f>
        <v>#DIV/0!</v>
      </c>
      <c r="L73" s="35">
        <f>C73*35%</f>
        <v>0</v>
      </c>
      <c r="O73" s="31">
        <f t="shared" si="3"/>
        <v>0</v>
      </c>
    </row>
    <row r="74" spans="1:15" s="3" customFormat="1" ht="24.75" customHeight="1" hidden="1">
      <c r="A74" s="180"/>
      <c r="B74" s="179" t="s">
        <v>3</v>
      </c>
      <c r="C74" s="12"/>
      <c r="D74" s="12"/>
      <c r="E74" s="12"/>
      <c r="F74" s="12"/>
      <c r="G74" s="24"/>
      <c r="H74" s="214"/>
      <c r="I74" s="25" t="e">
        <f t="shared" si="7"/>
        <v>#DIV/0!</v>
      </c>
      <c r="J74" s="5"/>
      <c r="K74" s="5"/>
      <c r="L74" s="35">
        <f t="shared" si="4"/>
        <v>0</v>
      </c>
      <c r="O74" s="31">
        <f t="shared" si="3"/>
        <v>0</v>
      </c>
    </row>
    <row r="75" spans="1:16" ht="24.75" customHeight="1">
      <c r="A75" s="9" t="s">
        <v>15</v>
      </c>
      <c r="B75" s="10" t="s">
        <v>79</v>
      </c>
      <c r="C75" s="11">
        <f>+C78</f>
        <v>19000000</v>
      </c>
      <c r="D75" s="11">
        <f>D76+D78</f>
        <v>2118123000</v>
      </c>
      <c r="E75" s="11">
        <f>+E78</f>
        <v>0</v>
      </c>
      <c r="F75" s="11"/>
      <c r="G75" s="24"/>
      <c r="H75" s="214"/>
      <c r="I75" s="25">
        <f t="shared" si="7"/>
        <v>0</v>
      </c>
      <c r="L75" s="35">
        <f t="shared" si="4"/>
        <v>-2118123000</v>
      </c>
      <c r="O75" s="31">
        <f t="shared" si="3"/>
        <v>-2118123000</v>
      </c>
      <c r="P75" s="4">
        <f>+P51+P50</f>
        <v>6776884000</v>
      </c>
    </row>
    <row r="76" spans="1:15" s="3" customFormat="1" ht="30" customHeight="1">
      <c r="A76" s="9">
        <v>1</v>
      </c>
      <c r="B76" s="23" t="s">
        <v>100</v>
      </c>
      <c r="C76" s="11">
        <f>C77</f>
        <v>0</v>
      </c>
      <c r="D76" s="11">
        <f>D77</f>
        <v>2078123000</v>
      </c>
      <c r="E76" s="11">
        <f>E77</f>
        <v>0</v>
      </c>
      <c r="F76" s="11"/>
      <c r="G76" s="24"/>
      <c r="H76" s="214"/>
      <c r="I76" s="25">
        <f t="shared" si="7"/>
        <v>0</v>
      </c>
      <c r="J76" s="5"/>
      <c r="K76" s="5"/>
      <c r="L76" s="35">
        <f t="shared" si="4"/>
        <v>-2078123000</v>
      </c>
      <c r="O76" s="31">
        <f t="shared" si="3"/>
        <v>-2078123000</v>
      </c>
    </row>
    <row r="77" spans="1:15" s="8" customFormat="1" ht="52.5" customHeight="1">
      <c r="A77" s="19"/>
      <c r="B77" s="20" t="s">
        <v>80</v>
      </c>
      <c r="C77" s="17"/>
      <c r="D77" s="17">
        <v>2078123000</v>
      </c>
      <c r="E77" s="17"/>
      <c r="F77" s="17"/>
      <c r="G77" s="24"/>
      <c r="H77" s="214"/>
      <c r="I77" s="25">
        <f t="shared" si="7"/>
        <v>0</v>
      </c>
      <c r="J77" s="7"/>
      <c r="K77" s="7"/>
      <c r="L77" s="35">
        <f t="shared" si="4"/>
        <v>-2078123000</v>
      </c>
      <c r="O77" s="31">
        <f t="shared" si="3"/>
        <v>-2078123000</v>
      </c>
    </row>
    <row r="78" spans="1:16" ht="24" customHeight="1">
      <c r="A78" s="9">
        <v>2</v>
      </c>
      <c r="B78" s="23" t="s">
        <v>102</v>
      </c>
      <c r="C78" s="11">
        <f>+C82</f>
        <v>19000000</v>
      </c>
      <c r="D78" s="11">
        <f>D79+D83</f>
        <v>40000000</v>
      </c>
      <c r="E78" s="11">
        <f>+E82</f>
        <v>0</v>
      </c>
      <c r="F78" s="11"/>
      <c r="G78" s="24"/>
      <c r="H78" s="214"/>
      <c r="I78" s="25">
        <f t="shared" si="7"/>
        <v>0</v>
      </c>
      <c r="L78" s="35">
        <f t="shared" si="4"/>
        <v>-40000000</v>
      </c>
      <c r="O78" s="31">
        <f t="shared" si="3"/>
        <v>-40000000</v>
      </c>
      <c r="P78" s="4"/>
    </row>
    <row r="79" spans="1:15" s="3" customFormat="1" ht="52.5" customHeight="1">
      <c r="A79" s="9" t="s">
        <v>48</v>
      </c>
      <c r="B79" s="23" t="s">
        <v>103</v>
      </c>
      <c r="C79" s="11">
        <f>C82</f>
        <v>19000000</v>
      </c>
      <c r="D79" s="11"/>
      <c r="E79" s="11">
        <f>E80+E81</f>
        <v>0</v>
      </c>
      <c r="F79" s="11"/>
      <c r="G79" s="24"/>
      <c r="H79" s="208"/>
      <c r="I79" s="25"/>
      <c r="J79" s="5"/>
      <c r="K79" s="5"/>
      <c r="L79" s="35">
        <f t="shared" si="4"/>
        <v>0</v>
      </c>
      <c r="O79" s="31">
        <f t="shared" si="3"/>
        <v>0</v>
      </c>
    </row>
    <row r="80" spans="1:15" s="3" customFormat="1" ht="24.75" customHeight="1" hidden="1">
      <c r="A80" s="9" t="s">
        <v>47</v>
      </c>
      <c r="B80" s="20" t="s">
        <v>104</v>
      </c>
      <c r="C80" s="12"/>
      <c r="D80" s="12"/>
      <c r="E80" s="12"/>
      <c r="F80" s="12"/>
      <c r="G80" s="26"/>
      <c r="H80" s="208"/>
      <c r="I80" s="25" t="e">
        <f t="shared" si="7"/>
        <v>#DIV/0!</v>
      </c>
      <c r="J80" s="5"/>
      <c r="K80" s="5"/>
      <c r="L80" s="35">
        <f t="shared" si="4"/>
        <v>0</v>
      </c>
      <c r="O80" s="31">
        <f t="shared" si="3"/>
        <v>0</v>
      </c>
    </row>
    <row r="81" spans="1:15" s="3" customFormat="1" ht="24.75" customHeight="1" hidden="1">
      <c r="A81" s="9" t="s">
        <v>47</v>
      </c>
      <c r="B81" s="20" t="s">
        <v>105</v>
      </c>
      <c r="C81" s="12"/>
      <c r="D81" s="12"/>
      <c r="E81" s="12"/>
      <c r="F81" s="12"/>
      <c r="G81" s="26"/>
      <c r="H81" s="208"/>
      <c r="I81" s="25" t="e">
        <f t="shared" si="7"/>
        <v>#DIV/0!</v>
      </c>
      <c r="J81" s="5"/>
      <c r="K81" s="5"/>
      <c r="L81" s="35">
        <f t="shared" si="4"/>
        <v>0</v>
      </c>
      <c r="O81" s="31">
        <f t="shared" si="3"/>
        <v>0</v>
      </c>
    </row>
    <row r="82" spans="1:16" ht="22.5" customHeight="1">
      <c r="A82" s="9" t="s">
        <v>47</v>
      </c>
      <c r="B82" s="83" t="s">
        <v>194</v>
      </c>
      <c r="C82" s="12">
        <v>19000000</v>
      </c>
      <c r="D82" s="12"/>
      <c r="E82" s="12"/>
      <c r="F82" s="12"/>
      <c r="G82" s="26"/>
      <c r="H82" s="208"/>
      <c r="I82" s="25"/>
      <c r="L82" s="35">
        <f t="shared" si="4"/>
        <v>0</v>
      </c>
      <c r="O82" s="31">
        <f t="shared" si="3"/>
        <v>0</v>
      </c>
      <c r="P82" s="4">
        <f>14032623434-P51</f>
        <v>12235344434</v>
      </c>
    </row>
    <row r="83" spans="1:15" s="3" customFormat="1" ht="66" customHeight="1">
      <c r="A83" s="13" t="s">
        <v>51</v>
      </c>
      <c r="B83" s="15" t="s">
        <v>0</v>
      </c>
      <c r="C83" s="11"/>
      <c r="D83" s="11">
        <v>40000000</v>
      </c>
      <c r="E83" s="11"/>
      <c r="F83" s="11"/>
      <c r="G83" s="24"/>
      <c r="H83" s="208"/>
      <c r="I83" s="25">
        <f t="shared" si="7"/>
        <v>0</v>
      </c>
      <c r="J83" s="5"/>
      <c r="K83" s="5"/>
      <c r="L83" s="35">
        <f t="shared" si="4"/>
        <v>-40000000</v>
      </c>
      <c r="O83" s="31">
        <f t="shared" si="3"/>
        <v>-40000000</v>
      </c>
    </row>
    <row r="84" spans="1:15" s="3" customFormat="1" ht="37.5" customHeight="1" hidden="1">
      <c r="A84" s="13" t="s">
        <v>52</v>
      </c>
      <c r="B84" s="15" t="s">
        <v>1</v>
      </c>
      <c r="C84" s="11"/>
      <c r="D84" s="11"/>
      <c r="E84" s="11"/>
      <c r="F84" s="11"/>
      <c r="G84" s="24" t="e">
        <f>E84/C84</f>
        <v>#DIV/0!</v>
      </c>
      <c r="H84" s="209"/>
      <c r="I84" s="25" t="e">
        <f>E84/#REF!</f>
        <v>#REF!</v>
      </c>
      <c r="J84" s="5"/>
      <c r="K84" s="5"/>
      <c r="L84" s="35">
        <f t="shared" si="4"/>
        <v>0</v>
      </c>
      <c r="O84" s="31">
        <f t="shared" si="3"/>
        <v>0</v>
      </c>
    </row>
    <row r="85" spans="1:15" s="3" customFormat="1" ht="37.5" customHeight="1" hidden="1">
      <c r="A85" s="13" t="s">
        <v>53</v>
      </c>
      <c r="B85" s="15" t="s">
        <v>136</v>
      </c>
      <c r="C85" s="11"/>
      <c r="D85" s="11"/>
      <c r="E85" s="11"/>
      <c r="F85" s="11"/>
      <c r="G85" s="24" t="e">
        <f>E85/C85</f>
        <v>#DIV/0!</v>
      </c>
      <c r="H85" s="209"/>
      <c r="I85" s="25"/>
      <c r="J85" s="5"/>
      <c r="K85" s="5"/>
      <c r="L85" s="35">
        <f t="shared" si="4"/>
        <v>0</v>
      </c>
      <c r="O85" s="31">
        <f t="shared" si="3"/>
        <v>0</v>
      </c>
    </row>
    <row r="86" spans="1:15" s="3" customFormat="1" ht="75.75" customHeight="1" hidden="1">
      <c r="A86" s="13" t="s">
        <v>54</v>
      </c>
      <c r="B86" s="18" t="s">
        <v>2</v>
      </c>
      <c r="C86" s="11">
        <f>C87+C88</f>
        <v>0</v>
      </c>
      <c r="D86" s="11"/>
      <c r="E86" s="11"/>
      <c r="F86" s="11"/>
      <c r="G86" s="24" t="e">
        <f>E86/C86</f>
        <v>#DIV/0!</v>
      </c>
      <c r="H86" s="209"/>
      <c r="I86" s="25"/>
      <c r="J86" s="5"/>
      <c r="K86" s="5"/>
      <c r="L86" s="35">
        <f t="shared" si="4"/>
        <v>0</v>
      </c>
      <c r="O86" s="31">
        <f t="shared" si="3"/>
        <v>0</v>
      </c>
    </row>
    <row r="87" spans="1:15" ht="25.5" customHeight="1" hidden="1">
      <c r="A87" s="14" t="s">
        <v>73</v>
      </c>
      <c r="B87" s="16" t="s">
        <v>81</v>
      </c>
      <c r="C87" s="12"/>
      <c r="D87" s="12"/>
      <c r="E87" s="12"/>
      <c r="F87" s="12"/>
      <c r="G87" s="26" t="e">
        <f>E87/C87</f>
        <v>#DIV/0!</v>
      </c>
      <c r="H87" s="210"/>
      <c r="I87" s="27"/>
      <c r="L87" s="35">
        <f t="shared" si="4"/>
        <v>0</v>
      </c>
      <c r="O87" s="31">
        <f t="shared" si="3"/>
        <v>0</v>
      </c>
    </row>
    <row r="88" spans="1:15" ht="36" customHeight="1" hidden="1">
      <c r="A88" s="14" t="s">
        <v>73</v>
      </c>
      <c r="B88" s="16" t="s">
        <v>82</v>
      </c>
      <c r="C88" s="12"/>
      <c r="D88" s="12"/>
      <c r="E88" s="12"/>
      <c r="F88" s="12"/>
      <c r="G88" s="26" t="e">
        <f>E88/C88</f>
        <v>#DIV/0!</v>
      </c>
      <c r="H88" s="210"/>
      <c r="I88" s="27"/>
      <c r="L88" s="35">
        <f t="shared" si="4"/>
        <v>0</v>
      </c>
      <c r="O88" s="31">
        <f t="shared" si="3"/>
        <v>0</v>
      </c>
    </row>
    <row r="89" spans="1:15" s="3" customFormat="1" ht="36" customHeight="1" hidden="1">
      <c r="A89" s="13">
        <v>3</v>
      </c>
      <c r="B89" s="15" t="s">
        <v>165</v>
      </c>
      <c r="C89" s="11"/>
      <c r="D89" s="11"/>
      <c r="E89" s="11"/>
      <c r="F89" s="11"/>
      <c r="G89" s="24"/>
      <c r="H89" s="77"/>
      <c r="I89" s="77"/>
      <c r="J89" s="5"/>
      <c r="K89" s="5"/>
      <c r="L89" s="78"/>
      <c r="O89" s="79"/>
    </row>
    <row r="90" spans="2:3" ht="18.75" hidden="1">
      <c r="B90" s="155"/>
      <c r="C90" s="69"/>
    </row>
    <row r="91" spans="2:3" ht="18.75">
      <c r="B91" s="155"/>
      <c r="C91" s="68"/>
    </row>
  </sheetData>
  <sheetProtection/>
  <mergeCells count="12">
    <mergeCell ref="A3:I3"/>
    <mergeCell ref="D5:D6"/>
    <mergeCell ref="E5:E6"/>
    <mergeCell ref="F5:F6"/>
    <mergeCell ref="A5:A6"/>
    <mergeCell ref="A4:I4"/>
    <mergeCell ref="A2:I2"/>
    <mergeCell ref="D1:I1"/>
    <mergeCell ref="A1:B1"/>
    <mergeCell ref="B5:B6"/>
    <mergeCell ref="C5:C6"/>
    <mergeCell ref="G5:I5"/>
  </mergeCells>
  <printOptions/>
  <pageMargins left="0.9055118110236221" right="0.5" top="0.38" bottom="0.23" header="0.31496062992125984" footer="0.196850393700787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85" zoomScaleSheetLayoutView="85" zoomScalePageLayoutView="0" workbookViewId="0" topLeftCell="A1">
      <selection activeCell="A4" sqref="A4:Q4"/>
    </sheetView>
  </sheetViews>
  <sheetFormatPr defaultColWidth="7.99609375" defaultRowHeight="16.5"/>
  <cols>
    <col min="1" max="1" width="5.99609375" style="1" customWidth="1"/>
    <col min="2" max="2" width="20.99609375" style="1" customWidth="1"/>
    <col min="3" max="3" width="15.21484375" style="1" customWidth="1"/>
    <col min="4" max="4" width="11.77734375" style="1" customWidth="1"/>
    <col min="5" max="5" width="14.10546875" style="1" customWidth="1"/>
    <col min="6" max="6" width="14.3359375" style="1" customWidth="1"/>
    <col min="7" max="7" width="12.10546875" style="1" customWidth="1"/>
    <col min="8" max="8" width="14.4453125" style="1" customWidth="1"/>
    <col min="9" max="9" width="14.10546875" style="1" customWidth="1"/>
    <col min="10" max="10" width="12.4453125" style="1" customWidth="1"/>
    <col min="11" max="11" width="14.21484375" style="1" customWidth="1"/>
    <col min="12" max="12" width="6.88671875" style="1" customWidth="1"/>
    <col min="13" max="13" width="6.10546875" style="1" customWidth="1"/>
    <col min="14" max="14" width="7.3359375" style="1" customWidth="1"/>
    <col min="15" max="16" width="6.10546875" style="1" customWidth="1"/>
    <col min="17" max="17" width="7.4453125" style="1" customWidth="1"/>
    <col min="18" max="16384" width="7.99609375" style="1" customWidth="1"/>
  </cols>
  <sheetData>
    <row r="1" spans="1:17" ht="21" customHeight="1">
      <c r="A1" s="299" t="s">
        <v>245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</row>
    <row r="2" spans="1:17" ht="21" customHeight="1">
      <c r="A2" s="300" t="s">
        <v>268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21" customHeight="1">
      <c r="A3" s="298" t="str">
        <f>'02'!A3:I3</f>
        <v>(Kèm theo Báo cáo số 155a /BC-UBND ngày 31 /5/2021 của UBND huyện Tủa Chùa)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17" ht="19.5" customHeight="1">
      <c r="A4" s="301" t="s">
        <v>72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</row>
    <row r="5" spans="1:17" s="2" customFormat="1" ht="25.5" customHeight="1">
      <c r="A5" s="287" t="s">
        <v>7</v>
      </c>
      <c r="B5" s="287" t="s">
        <v>107</v>
      </c>
      <c r="C5" s="287" t="s">
        <v>202</v>
      </c>
      <c r="D5" s="287"/>
      <c r="E5" s="287"/>
      <c r="F5" s="287" t="s">
        <v>246</v>
      </c>
      <c r="G5" s="287"/>
      <c r="H5" s="287"/>
      <c r="I5" s="287" t="s">
        <v>267</v>
      </c>
      <c r="J5" s="287"/>
      <c r="K5" s="287"/>
      <c r="L5" s="287" t="s">
        <v>222</v>
      </c>
      <c r="M5" s="287"/>
      <c r="N5" s="287"/>
      <c r="O5" s="287" t="s">
        <v>143</v>
      </c>
      <c r="P5" s="287"/>
      <c r="Q5" s="287"/>
    </row>
    <row r="6" spans="1:17" s="2" customFormat="1" ht="19.5" customHeight="1">
      <c r="A6" s="287"/>
      <c r="B6" s="287"/>
      <c r="C6" s="287" t="s">
        <v>108</v>
      </c>
      <c r="D6" s="287" t="s">
        <v>109</v>
      </c>
      <c r="E6" s="287"/>
      <c r="F6" s="287" t="s">
        <v>108</v>
      </c>
      <c r="G6" s="287" t="s">
        <v>109</v>
      </c>
      <c r="H6" s="287"/>
      <c r="I6" s="287" t="s">
        <v>108</v>
      </c>
      <c r="J6" s="287" t="s">
        <v>109</v>
      </c>
      <c r="K6" s="287"/>
      <c r="L6" s="287" t="s">
        <v>108</v>
      </c>
      <c r="M6" s="287" t="s">
        <v>109</v>
      </c>
      <c r="N6" s="287"/>
      <c r="O6" s="287" t="s">
        <v>108</v>
      </c>
      <c r="P6" s="287" t="s">
        <v>109</v>
      </c>
      <c r="Q6" s="287"/>
    </row>
    <row r="7" spans="1:17" s="2" customFormat="1" ht="23.25" customHeight="1">
      <c r="A7" s="287"/>
      <c r="B7" s="287"/>
      <c r="C7" s="287"/>
      <c r="D7" s="287" t="s">
        <v>124</v>
      </c>
      <c r="E7" s="287" t="s">
        <v>56</v>
      </c>
      <c r="F7" s="287"/>
      <c r="G7" s="287" t="s">
        <v>124</v>
      </c>
      <c r="H7" s="287" t="s">
        <v>56</v>
      </c>
      <c r="I7" s="287"/>
      <c r="J7" s="287" t="s">
        <v>124</v>
      </c>
      <c r="K7" s="287" t="s">
        <v>56</v>
      </c>
      <c r="L7" s="287"/>
      <c r="M7" s="287" t="s">
        <v>124</v>
      </c>
      <c r="N7" s="287" t="s">
        <v>56</v>
      </c>
      <c r="O7" s="287"/>
      <c r="P7" s="287" t="s">
        <v>124</v>
      </c>
      <c r="Q7" s="287" t="s">
        <v>56</v>
      </c>
    </row>
    <row r="8" spans="1:17" s="2" customFormat="1" ht="23.2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</row>
    <row r="9" spans="1:17" s="2" customFormat="1" ht="81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</row>
    <row r="10" spans="1:17" s="217" customFormat="1" ht="22.5" customHeight="1">
      <c r="A10" s="216" t="s">
        <v>10</v>
      </c>
      <c r="B10" s="216" t="s">
        <v>11</v>
      </c>
      <c r="C10" s="216">
        <v>1</v>
      </c>
      <c r="D10" s="216">
        <v>2</v>
      </c>
      <c r="E10" s="216">
        <v>3</v>
      </c>
      <c r="F10" s="216">
        <v>4</v>
      </c>
      <c r="G10" s="216">
        <v>5</v>
      </c>
      <c r="H10" s="216">
        <v>6</v>
      </c>
      <c r="I10" s="216">
        <v>7</v>
      </c>
      <c r="J10" s="216">
        <v>8</v>
      </c>
      <c r="K10" s="216">
        <v>9</v>
      </c>
      <c r="L10" s="216" t="s">
        <v>223</v>
      </c>
      <c r="M10" s="216" t="s">
        <v>224</v>
      </c>
      <c r="N10" s="216" t="s">
        <v>225</v>
      </c>
      <c r="O10" s="216" t="s">
        <v>147</v>
      </c>
      <c r="P10" s="216" t="s">
        <v>148</v>
      </c>
      <c r="Q10" s="216" t="s">
        <v>149</v>
      </c>
    </row>
    <row r="11" spans="1:17" s="221" customFormat="1" ht="25.5" customHeight="1">
      <c r="A11" s="218"/>
      <c r="B11" s="218" t="s">
        <v>108</v>
      </c>
      <c r="C11" s="219">
        <f>SUM(C12:C23)</f>
        <v>66622820000</v>
      </c>
      <c r="D11" s="219">
        <f aca="true" t="shared" si="0" ref="D11:K11">SUM(D12:D23)</f>
        <v>580000000</v>
      </c>
      <c r="E11" s="219">
        <f t="shared" si="0"/>
        <v>66042820000</v>
      </c>
      <c r="F11" s="219">
        <f t="shared" si="0"/>
        <v>26464875872</v>
      </c>
      <c r="G11" s="219">
        <f t="shared" si="0"/>
        <v>150490872</v>
      </c>
      <c r="H11" s="219">
        <f t="shared" si="0"/>
        <v>26314385000</v>
      </c>
      <c r="I11" s="219">
        <f t="shared" si="0"/>
        <v>32828801179</v>
      </c>
      <c r="J11" s="219">
        <f t="shared" si="0"/>
        <v>207531179</v>
      </c>
      <c r="K11" s="219">
        <f t="shared" si="0"/>
        <v>32621270000</v>
      </c>
      <c r="L11" s="220">
        <f aca="true" t="shared" si="1" ref="L11:N12">F11/C11</f>
        <v>0.39723439914431724</v>
      </c>
      <c r="M11" s="220">
        <f t="shared" si="1"/>
        <v>0.25946702068965516</v>
      </c>
      <c r="N11" s="220">
        <f t="shared" si="1"/>
        <v>0.3984442971999076</v>
      </c>
      <c r="O11" s="220">
        <f aca="true" t="shared" si="2" ref="O11:Q23">I11/C11</f>
        <v>0.4927561033741892</v>
      </c>
      <c r="P11" s="220">
        <f t="shared" si="2"/>
        <v>0.3578123775862069</v>
      </c>
      <c r="Q11" s="220">
        <f t="shared" si="2"/>
        <v>0.49394120360093646</v>
      </c>
    </row>
    <row r="12" spans="1:17" s="226" customFormat="1" ht="25.5" customHeight="1">
      <c r="A12" s="222">
        <v>1</v>
      </c>
      <c r="B12" s="223" t="s">
        <v>111</v>
      </c>
      <c r="C12" s="224">
        <f>D12+E12</f>
        <v>7765360000</v>
      </c>
      <c r="D12" s="224">
        <v>270000000</v>
      </c>
      <c r="E12" s="224">
        <v>7495360000</v>
      </c>
      <c r="F12" s="224">
        <f aca="true" t="shared" si="3" ref="F12:F24">G12+H12</f>
        <v>2604131806</v>
      </c>
      <c r="G12" s="224">
        <v>104131806</v>
      </c>
      <c r="H12" s="224">
        <v>2500000000</v>
      </c>
      <c r="I12" s="224">
        <f>J12+K12</f>
        <v>4020000000</v>
      </c>
      <c r="J12" s="224">
        <v>120000000</v>
      </c>
      <c r="K12" s="224">
        <v>3900000000</v>
      </c>
      <c r="L12" s="225">
        <f t="shared" si="1"/>
        <v>0.33535236048296535</v>
      </c>
      <c r="M12" s="225">
        <f t="shared" si="1"/>
        <v>0.38567335555555554</v>
      </c>
      <c r="N12" s="225">
        <f t="shared" si="1"/>
        <v>0.33353968321735045</v>
      </c>
      <c r="O12" s="225">
        <f t="shared" si="2"/>
        <v>0.517683661800612</v>
      </c>
      <c r="P12" s="225">
        <f t="shared" si="2"/>
        <v>0.4444444444444444</v>
      </c>
      <c r="Q12" s="225">
        <f t="shared" si="2"/>
        <v>0.5203219058190667</v>
      </c>
    </row>
    <row r="13" spans="1:17" s="226" customFormat="1" ht="25.5" customHeight="1">
      <c r="A13" s="222">
        <v>2</v>
      </c>
      <c r="B13" s="223" t="s">
        <v>112</v>
      </c>
      <c r="C13" s="224">
        <f>D13+E13</f>
        <v>6433860000</v>
      </c>
      <c r="D13" s="224">
        <v>30000000</v>
      </c>
      <c r="E13" s="224">
        <v>6403860000</v>
      </c>
      <c r="F13" s="224">
        <f t="shared" si="3"/>
        <v>3008486000</v>
      </c>
      <c r="G13" s="224">
        <v>8486000</v>
      </c>
      <c r="H13" s="224">
        <v>3000000000</v>
      </c>
      <c r="I13" s="224">
        <f aca="true" t="shared" si="4" ref="I13:I23">J13+K13</f>
        <v>3610000000</v>
      </c>
      <c r="J13" s="224">
        <v>10000000</v>
      </c>
      <c r="K13" s="224">
        <v>3600000000</v>
      </c>
      <c r="L13" s="225">
        <f aca="true" t="shared" si="5" ref="L13:N23">F13/C13</f>
        <v>0.46760203050734706</v>
      </c>
      <c r="M13" s="225">
        <f t="shared" si="5"/>
        <v>0.28286666666666666</v>
      </c>
      <c r="N13" s="225">
        <f t="shared" si="5"/>
        <v>0.46846745556586183</v>
      </c>
      <c r="O13" s="225">
        <f t="shared" si="2"/>
        <v>0.5610939622559397</v>
      </c>
      <c r="P13" s="225">
        <f t="shared" si="2"/>
        <v>0.3333333333333333</v>
      </c>
      <c r="Q13" s="225">
        <f t="shared" si="2"/>
        <v>0.5621609466790342</v>
      </c>
    </row>
    <row r="14" spans="1:17" s="226" customFormat="1" ht="25.5" customHeight="1">
      <c r="A14" s="222">
        <v>3</v>
      </c>
      <c r="B14" s="223" t="s">
        <v>113</v>
      </c>
      <c r="C14" s="224">
        <f aca="true" t="shared" si="6" ref="C14:C23">D14+E14</f>
        <v>6484860000</v>
      </c>
      <c r="D14" s="224">
        <v>50000000</v>
      </c>
      <c r="E14" s="224">
        <v>6434860000</v>
      </c>
      <c r="F14" s="224">
        <f t="shared" si="3"/>
        <v>2628106175</v>
      </c>
      <c r="G14" s="224">
        <v>13481175</v>
      </c>
      <c r="H14" s="224">
        <v>2614625000</v>
      </c>
      <c r="I14" s="224">
        <f t="shared" si="4"/>
        <v>3157106179</v>
      </c>
      <c r="J14" s="224">
        <v>15481179</v>
      </c>
      <c r="K14" s="224">
        <v>3141625000</v>
      </c>
      <c r="L14" s="225">
        <f t="shared" si="5"/>
        <v>0.4052679895942241</v>
      </c>
      <c r="M14" s="225">
        <f t="shared" si="5"/>
        <v>0.2696235</v>
      </c>
      <c r="N14" s="225">
        <f t="shared" si="5"/>
        <v>0.4063219712627781</v>
      </c>
      <c r="O14" s="225">
        <f t="shared" si="2"/>
        <v>0.48684261171405396</v>
      </c>
      <c r="P14" s="225">
        <f t="shared" si="2"/>
        <v>0.30962358</v>
      </c>
      <c r="Q14" s="225">
        <f t="shared" si="2"/>
        <v>0.4882196349260124</v>
      </c>
    </row>
    <row r="15" spans="1:17" s="226" customFormat="1" ht="25.5" customHeight="1">
      <c r="A15" s="222">
        <v>4</v>
      </c>
      <c r="B15" s="223" t="s">
        <v>114</v>
      </c>
      <c r="C15" s="224">
        <f t="shared" si="6"/>
        <v>5028060000</v>
      </c>
      <c r="D15" s="224">
        <v>22000000</v>
      </c>
      <c r="E15" s="224">
        <v>5006060000</v>
      </c>
      <c r="F15" s="224">
        <f t="shared" si="3"/>
        <v>2053979950</v>
      </c>
      <c r="G15" s="224">
        <v>4219950</v>
      </c>
      <c r="H15" s="224">
        <v>2049760000</v>
      </c>
      <c r="I15" s="224">
        <f t="shared" si="4"/>
        <v>2380645000</v>
      </c>
      <c r="J15" s="224">
        <v>11000000</v>
      </c>
      <c r="K15" s="224">
        <v>2369645000</v>
      </c>
      <c r="L15" s="225">
        <f t="shared" si="5"/>
        <v>0.4085034685345839</v>
      </c>
      <c r="M15" s="225">
        <f t="shared" si="5"/>
        <v>0.1918159090909091</v>
      </c>
      <c r="N15" s="225">
        <f t="shared" si="5"/>
        <v>0.40945573964355203</v>
      </c>
      <c r="O15" s="225">
        <f t="shared" si="2"/>
        <v>0.4734718758328262</v>
      </c>
      <c r="P15" s="225">
        <f t="shared" si="2"/>
        <v>0.5</v>
      </c>
      <c r="Q15" s="225">
        <f t="shared" si="2"/>
        <v>0.47335529338441806</v>
      </c>
    </row>
    <row r="16" spans="1:17" s="226" customFormat="1" ht="25.5" customHeight="1">
      <c r="A16" s="222">
        <v>5</v>
      </c>
      <c r="B16" s="223" t="s">
        <v>115</v>
      </c>
      <c r="C16" s="224">
        <f t="shared" si="6"/>
        <v>5537360000</v>
      </c>
      <c r="D16" s="224">
        <v>22000000</v>
      </c>
      <c r="E16" s="224">
        <v>5515360000</v>
      </c>
      <c r="F16" s="224">
        <f t="shared" si="3"/>
        <v>2250000000</v>
      </c>
      <c r="G16" s="224"/>
      <c r="H16" s="224">
        <v>2250000000</v>
      </c>
      <c r="I16" s="224">
        <f t="shared" si="4"/>
        <v>2753000000</v>
      </c>
      <c r="J16" s="224">
        <v>3000000</v>
      </c>
      <c r="K16" s="224">
        <f>H16+500000000</f>
        <v>2750000000</v>
      </c>
      <c r="L16" s="225">
        <f t="shared" si="5"/>
        <v>0.40633081468425386</v>
      </c>
      <c r="M16" s="225">
        <f t="shared" si="5"/>
        <v>0</v>
      </c>
      <c r="N16" s="225">
        <f t="shared" si="5"/>
        <v>0.40795161149952136</v>
      </c>
      <c r="O16" s="225">
        <f t="shared" si="2"/>
        <v>0.49716832570033376</v>
      </c>
      <c r="P16" s="225">
        <f t="shared" si="2"/>
        <v>0.13636363636363635</v>
      </c>
      <c r="Q16" s="225">
        <f t="shared" si="2"/>
        <v>0.49860752516608164</v>
      </c>
    </row>
    <row r="17" spans="1:17" s="226" customFormat="1" ht="25.5" customHeight="1">
      <c r="A17" s="222">
        <v>6</v>
      </c>
      <c r="B17" s="223" t="s">
        <v>116</v>
      </c>
      <c r="C17" s="224">
        <f t="shared" si="6"/>
        <v>4699560000</v>
      </c>
      <c r="D17" s="224">
        <v>22000000</v>
      </c>
      <c r="E17" s="224">
        <v>4677560000</v>
      </c>
      <c r="F17" s="224">
        <f t="shared" si="3"/>
        <v>1600000000</v>
      </c>
      <c r="G17" s="224"/>
      <c r="H17" s="224">
        <v>1600000000</v>
      </c>
      <c r="I17" s="224">
        <f t="shared" si="4"/>
        <v>2166000000</v>
      </c>
      <c r="J17" s="224">
        <v>6000000</v>
      </c>
      <c r="K17" s="224">
        <v>2160000000</v>
      </c>
      <c r="L17" s="225">
        <f t="shared" si="5"/>
        <v>0.3404574045229766</v>
      </c>
      <c r="M17" s="225">
        <f t="shared" si="5"/>
        <v>0</v>
      </c>
      <c r="N17" s="225">
        <f t="shared" si="5"/>
        <v>0.3420586801665826</v>
      </c>
      <c r="O17" s="225">
        <f t="shared" si="2"/>
        <v>0.4608942113729796</v>
      </c>
      <c r="P17" s="225">
        <f t="shared" si="2"/>
        <v>0.2727272727272727</v>
      </c>
      <c r="Q17" s="225">
        <f t="shared" si="2"/>
        <v>0.4617792182248865</v>
      </c>
    </row>
    <row r="18" spans="1:17" s="226" customFormat="1" ht="25.5" customHeight="1">
      <c r="A18" s="222">
        <v>7</v>
      </c>
      <c r="B18" s="223" t="s">
        <v>122</v>
      </c>
      <c r="C18" s="224">
        <f>D18+E18</f>
        <v>5866860000</v>
      </c>
      <c r="D18" s="224">
        <v>25000000</v>
      </c>
      <c r="E18" s="224">
        <v>5841860000</v>
      </c>
      <c r="F18" s="224">
        <f t="shared" si="3"/>
        <v>2101000000</v>
      </c>
      <c r="G18" s="224">
        <v>1000000</v>
      </c>
      <c r="H18" s="224">
        <v>2100000000</v>
      </c>
      <c r="I18" s="224">
        <f>J18+K18</f>
        <v>2604000000</v>
      </c>
      <c r="J18" s="224">
        <v>4000000</v>
      </c>
      <c r="K18" s="224">
        <v>2600000000</v>
      </c>
      <c r="L18" s="225">
        <f t="shared" si="5"/>
        <v>0.35811319854232077</v>
      </c>
      <c r="M18" s="225">
        <f t="shared" si="5"/>
        <v>0.04</v>
      </c>
      <c r="N18" s="225">
        <f t="shared" si="5"/>
        <v>0.3594745509135789</v>
      </c>
      <c r="O18" s="225">
        <f t="shared" si="2"/>
        <v>0.44384900952127715</v>
      </c>
      <c r="P18" s="225">
        <f t="shared" si="2"/>
        <v>0.16</v>
      </c>
      <c r="Q18" s="225">
        <f t="shared" si="2"/>
        <v>0.4450637297025262</v>
      </c>
    </row>
    <row r="19" spans="1:17" s="226" customFormat="1" ht="25.5" customHeight="1">
      <c r="A19" s="222">
        <v>8</v>
      </c>
      <c r="B19" s="223" t="s">
        <v>119</v>
      </c>
      <c r="C19" s="224">
        <f>D19+E19</f>
        <v>5315760000</v>
      </c>
      <c r="D19" s="224">
        <v>22000000</v>
      </c>
      <c r="E19" s="224">
        <v>5293760000</v>
      </c>
      <c r="F19" s="224">
        <f t="shared" si="3"/>
        <v>2200000000</v>
      </c>
      <c r="G19" s="224"/>
      <c r="H19" s="224">
        <v>2200000000</v>
      </c>
      <c r="I19" s="224">
        <f>J19+K19</f>
        <v>2604000000</v>
      </c>
      <c r="J19" s="224">
        <v>4000000</v>
      </c>
      <c r="K19" s="224">
        <v>2600000000</v>
      </c>
      <c r="L19" s="225">
        <f t="shared" si="5"/>
        <v>0.41386368082832936</v>
      </c>
      <c r="M19" s="225">
        <f t="shared" si="5"/>
        <v>0</v>
      </c>
      <c r="N19" s="225">
        <f t="shared" si="5"/>
        <v>0.41558363053859637</v>
      </c>
      <c r="O19" s="225">
        <f t="shared" si="2"/>
        <v>0.4898641022168044</v>
      </c>
      <c r="P19" s="225">
        <f t="shared" si="2"/>
        <v>0.18181818181818182</v>
      </c>
      <c r="Q19" s="225">
        <f t="shared" si="2"/>
        <v>0.491144290636523</v>
      </c>
    </row>
    <row r="20" spans="1:17" s="226" customFormat="1" ht="25.5" customHeight="1">
      <c r="A20" s="222">
        <v>9</v>
      </c>
      <c r="B20" s="223" t="s">
        <v>121</v>
      </c>
      <c r="C20" s="224">
        <f>D20+E20</f>
        <v>4765460000</v>
      </c>
      <c r="D20" s="224">
        <v>20000000</v>
      </c>
      <c r="E20" s="224">
        <v>4745460000</v>
      </c>
      <c r="F20" s="224">
        <f t="shared" si="3"/>
        <v>2211121941</v>
      </c>
      <c r="G20" s="224">
        <v>11121941</v>
      </c>
      <c r="H20" s="224">
        <v>2200000000</v>
      </c>
      <c r="I20" s="224">
        <f>J20+K20</f>
        <v>2512500000</v>
      </c>
      <c r="J20" s="224">
        <v>12500000</v>
      </c>
      <c r="K20" s="224">
        <v>2500000000</v>
      </c>
      <c r="L20" s="225">
        <f t="shared" si="5"/>
        <v>0.4639891932782984</v>
      </c>
      <c r="M20" s="225">
        <f t="shared" si="5"/>
        <v>0.55609705</v>
      </c>
      <c r="N20" s="225">
        <f t="shared" si="5"/>
        <v>0.46360099969233753</v>
      </c>
      <c r="O20" s="225">
        <f t="shared" si="2"/>
        <v>0.5272313690598599</v>
      </c>
      <c r="P20" s="225">
        <f t="shared" si="2"/>
        <v>0.625</v>
      </c>
      <c r="Q20" s="225">
        <f t="shared" si="2"/>
        <v>0.5268193178322017</v>
      </c>
    </row>
    <row r="21" spans="1:17" s="227" customFormat="1" ht="25.5" customHeight="1">
      <c r="A21" s="222">
        <v>10</v>
      </c>
      <c r="B21" s="223" t="s">
        <v>118</v>
      </c>
      <c r="C21" s="224">
        <f>D21+E21</f>
        <v>4956660000</v>
      </c>
      <c r="D21" s="224">
        <v>50000000</v>
      </c>
      <c r="E21" s="224">
        <v>4906660000</v>
      </c>
      <c r="F21" s="224">
        <f t="shared" si="3"/>
        <v>2000000000</v>
      </c>
      <c r="G21" s="224"/>
      <c r="H21" s="224">
        <v>2000000000</v>
      </c>
      <c r="I21" s="224">
        <f>J21+K21</f>
        <v>2510000000</v>
      </c>
      <c r="J21" s="224">
        <v>10000000</v>
      </c>
      <c r="K21" s="224">
        <v>2500000000</v>
      </c>
      <c r="L21" s="225">
        <f t="shared" si="5"/>
        <v>0.4034975164727861</v>
      </c>
      <c r="M21" s="225">
        <f t="shared" si="5"/>
        <v>0</v>
      </c>
      <c r="N21" s="225">
        <f t="shared" si="5"/>
        <v>0.40760924946908894</v>
      </c>
      <c r="O21" s="225">
        <f t="shared" si="2"/>
        <v>0.5063893831733466</v>
      </c>
      <c r="P21" s="225">
        <f t="shared" si="2"/>
        <v>0.2</v>
      </c>
      <c r="Q21" s="225">
        <f t="shared" si="2"/>
        <v>0.5095115618363611</v>
      </c>
    </row>
    <row r="22" spans="1:17" s="226" customFormat="1" ht="25.5" customHeight="1">
      <c r="A22" s="222">
        <v>11</v>
      </c>
      <c r="B22" s="223" t="s">
        <v>120</v>
      </c>
      <c r="C22" s="224">
        <f>D22+E22</f>
        <v>4499360000</v>
      </c>
      <c r="D22" s="224">
        <v>20000000</v>
      </c>
      <c r="E22" s="224">
        <v>4479360000</v>
      </c>
      <c r="F22" s="224">
        <f t="shared" si="3"/>
        <v>1601000000</v>
      </c>
      <c r="G22" s="224">
        <v>1000000</v>
      </c>
      <c r="H22" s="224">
        <v>1600000000</v>
      </c>
      <c r="I22" s="224">
        <f>J22+K22</f>
        <v>1903000000</v>
      </c>
      <c r="J22" s="224">
        <v>3000000</v>
      </c>
      <c r="K22" s="224">
        <v>1900000000</v>
      </c>
      <c r="L22" s="225">
        <f t="shared" si="5"/>
        <v>0.35582838448134846</v>
      </c>
      <c r="M22" s="225">
        <f t="shared" si="5"/>
        <v>0.05</v>
      </c>
      <c r="N22" s="225">
        <f t="shared" si="5"/>
        <v>0.35719388484069153</v>
      </c>
      <c r="O22" s="225">
        <f t="shared" si="2"/>
        <v>0.4229490416414779</v>
      </c>
      <c r="P22" s="225">
        <f t="shared" si="2"/>
        <v>0.15</v>
      </c>
      <c r="Q22" s="225">
        <f t="shared" si="2"/>
        <v>0.4241677382483212</v>
      </c>
    </row>
    <row r="23" spans="1:17" s="226" customFormat="1" ht="25.5" customHeight="1">
      <c r="A23" s="222">
        <v>12</v>
      </c>
      <c r="B23" s="223" t="s">
        <v>117</v>
      </c>
      <c r="C23" s="224">
        <f t="shared" si="6"/>
        <v>5269660000</v>
      </c>
      <c r="D23" s="224">
        <v>27000000</v>
      </c>
      <c r="E23" s="224">
        <v>5242660000</v>
      </c>
      <c r="F23" s="224">
        <f t="shared" si="3"/>
        <v>2207050000</v>
      </c>
      <c r="G23" s="224">
        <v>7050000</v>
      </c>
      <c r="H23" s="224">
        <v>2200000000</v>
      </c>
      <c r="I23" s="224">
        <f t="shared" si="4"/>
        <v>2608550000</v>
      </c>
      <c r="J23" s="224">
        <v>8550000</v>
      </c>
      <c r="K23" s="224">
        <v>2600000000</v>
      </c>
      <c r="L23" s="225">
        <f t="shared" si="5"/>
        <v>0.4188220871934812</v>
      </c>
      <c r="M23" s="225">
        <f t="shared" si="5"/>
        <v>0.2611111111111111</v>
      </c>
      <c r="N23" s="225">
        <f t="shared" si="5"/>
        <v>0.4196343077750608</v>
      </c>
      <c r="O23" s="225">
        <f t="shared" si="2"/>
        <v>0.4950129609879954</v>
      </c>
      <c r="P23" s="225">
        <f t="shared" si="2"/>
        <v>0.31666666666666665</v>
      </c>
      <c r="Q23" s="225">
        <f t="shared" si="2"/>
        <v>0.4959314546432536</v>
      </c>
    </row>
    <row r="24" spans="1:17" s="39" customFormat="1" ht="24.75" customHeight="1" hidden="1">
      <c r="A24" s="48" t="s">
        <v>15</v>
      </c>
      <c r="B24" s="49" t="s">
        <v>140</v>
      </c>
      <c r="C24" s="37">
        <f>D24+E24</f>
        <v>0</v>
      </c>
      <c r="D24" s="37"/>
      <c r="E24" s="50"/>
      <c r="F24" s="43">
        <f t="shared" si="3"/>
        <v>0</v>
      </c>
      <c r="G24" s="51"/>
      <c r="H24" s="50"/>
      <c r="I24" s="43">
        <f>J24+K24</f>
        <v>0</v>
      </c>
      <c r="J24" s="51"/>
      <c r="K24" s="50"/>
      <c r="L24" s="50"/>
      <c r="M24" s="50"/>
      <c r="N24" s="50"/>
      <c r="O24" s="52"/>
      <c r="P24" s="52"/>
      <c r="Q24" s="37"/>
    </row>
    <row r="25" spans="1:17" ht="22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8.75">
      <c r="A26" s="30"/>
      <c r="B26" s="30"/>
      <c r="C26" s="30"/>
      <c r="D26" s="30"/>
      <c r="E26" s="30"/>
      <c r="F26" s="30"/>
      <c r="G26" s="53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8.75">
      <c r="A27" s="30"/>
      <c r="B27" s="30"/>
      <c r="C27" s="3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8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8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</sheetData>
  <sheetProtection/>
  <mergeCells count="31">
    <mergeCell ref="A1:Q1"/>
    <mergeCell ref="A2:Q2"/>
    <mergeCell ref="A3:Q3"/>
    <mergeCell ref="A4:Q4"/>
    <mergeCell ref="A5:A9"/>
    <mergeCell ref="Q7:Q9"/>
    <mergeCell ref="B5:B9"/>
    <mergeCell ref="C5:E5"/>
    <mergeCell ref="I5:K5"/>
    <mergeCell ref="K7:K9"/>
    <mergeCell ref="J6:K6"/>
    <mergeCell ref="O5:Q5"/>
    <mergeCell ref="D6:E6"/>
    <mergeCell ref="O6:O9"/>
    <mergeCell ref="N7:N9"/>
    <mergeCell ref="M7:M9"/>
    <mergeCell ref="F5:H5"/>
    <mergeCell ref="G6:H6"/>
    <mergeCell ref="L5:N5"/>
    <mergeCell ref="D7:D9"/>
    <mergeCell ref="E7:E9"/>
    <mergeCell ref="P6:Q6"/>
    <mergeCell ref="H7:H9"/>
    <mergeCell ref="P7:P9"/>
    <mergeCell ref="I6:I9"/>
    <mergeCell ref="G7:G9"/>
    <mergeCell ref="M6:N6"/>
    <mergeCell ref="C6:C9"/>
    <mergeCell ref="J7:J9"/>
    <mergeCell ref="F6:F9"/>
    <mergeCell ref="L6:L9"/>
  </mergeCells>
  <printOptions/>
  <pageMargins left="0.75" right="0.43" top="0.35433070866141736" bottom="0.31496062992125984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SheetLayoutView="100" zoomScalePageLayoutView="0" workbookViewId="0" topLeftCell="A1">
      <selection activeCell="A4" sqref="A4:Q4"/>
    </sheetView>
  </sheetViews>
  <sheetFormatPr defaultColWidth="7.99609375" defaultRowHeight="16.5"/>
  <cols>
    <col min="1" max="1" width="5.99609375" style="98" customWidth="1"/>
    <col min="2" max="2" width="19.5546875" style="98" customWidth="1"/>
    <col min="3" max="3" width="12.5546875" style="98" customWidth="1"/>
    <col min="4" max="4" width="12.99609375" style="98" customWidth="1"/>
    <col min="5" max="5" width="11.4453125" style="98" customWidth="1"/>
    <col min="6" max="6" width="12.21484375" style="98" customWidth="1"/>
    <col min="7" max="7" width="12.3359375" style="98" customWidth="1"/>
    <col min="8" max="8" width="9.21484375" style="98" customWidth="1"/>
    <col min="9" max="9" width="12.21484375" style="98" customWidth="1"/>
    <col min="10" max="10" width="11.88671875" style="98" customWidth="1"/>
    <col min="11" max="11" width="11.4453125" style="98" customWidth="1"/>
    <col min="12" max="12" width="7.6640625" style="98" customWidth="1"/>
    <col min="13" max="14" width="6.88671875" style="98" customWidth="1"/>
    <col min="15" max="16" width="6.4453125" style="98" customWidth="1"/>
    <col min="17" max="17" width="6.6640625" style="98" customWidth="1"/>
    <col min="18" max="18" width="11.5546875" style="98" hidden="1" customWidth="1"/>
    <col min="19" max="16384" width="7.99609375" style="98" customWidth="1"/>
  </cols>
  <sheetData>
    <row r="1" spans="1:17" ht="21" customHeight="1">
      <c r="A1" s="303" t="s">
        <v>247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1:17" ht="21" customHeight="1">
      <c r="A2" s="276" t="s">
        <v>272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:17" ht="21" customHeight="1">
      <c r="A3" s="304" t="str">
        <f>'biểu 03'!A3:Q3</f>
        <v>(Kèm theo Báo cáo số 155a /BC-UBND ngày 31 /5/2021 của UBND huyện Tủa Chùa)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</row>
    <row r="4" spans="1:17" ht="19.5" customHeight="1">
      <c r="A4" s="305" t="s">
        <v>72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</row>
    <row r="5" spans="1:17" s="96" customFormat="1" ht="35.25" customHeight="1">
      <c r="A5" s="302" t="s">
        <v>7</v>
      </c>
      <c r="B5" s="302" t="s">
        <v>107</v>
      </c>
      <c r="C5" s="302" t="s">
        <v>202</v>
      </c>
      <c r="D5" s="302"/>
      <c r="E5" s="302"/>
      <c r="F5" s="302" t="s">
        <v>244</v>
      </c>
      <c r="G5" s="302"/>
      <c r="H5" s="302"/>
      <c r="I5" s="302" t="s">
        <v>267</v>
      </c>
      <c r="J5" s="302"/>
      <c r="K5" s="302"/>
      <c r="L5" s="302" t="s">
        <v>150</v>
      </c>
      <c r="M5" s="302"/>
      <c r="N5" s="302"/>
      <c r="O5" s="302" t="s">
        <v>151</v>
      </c>
      <c r="P5" s="302"/>
      <c r="Q5" s="302"/>
    </row>
    <row r="6" spans="1:17" s="96" customFormat="1" ht="19.5" customHeight="1">
      <c r="A6" s="302"/>
      <c r="B6" s="302"/>
      <c r="C6" s="302" t="s">
        <v>108</v>
      </c>
      <c r="D6" s="302" t="s">
        <v>109</v>
      </c>
      <c r="E6" s="302"/>
      <c r="F6" s="302" t="s">
        <v>108</v>
      </c>
      <c r="G6" s="302" t="s">
        <v>109</v>
      </c>
      <c r="H6" s="302"/>
      <c r="I6" s="302" t="s">
        <v>108</v>
      </c>
      <c r="J6" s="302" t="s">
        <v>109</v>
      </c>
      <c r="K6" s="302"/>
      <c r="L6" s="302" t="s">
        <v>108</v>
      </c>
      <c r="M6" s="302" t="s">
        <v>109</v>
      </c>
      <c r="N6" s="302"/>
      <c r="O6" s="302" t="s">
        <v>108</v>
      </c>
      <c r="P6" s="302" t="s">
        <v>109</v>
      </c>
      <c r="Q6" s="302"/>
    </row>
    <row r="7" spans="1:17" s="96" customFormat="1" ht="23.25" customHeight="1">
      <c r="A7" s="302"/>
      <c r="B7" s="302"/>
      <c r="C7" s="302"/>
      <c r="D7" s="302" t="s">
        <v>128</v>
      </c>
      <c r="E7" s="302" t="s">
        <v>269</v>
      </c>
      <c r="F7" s="302"/>
      <c r="G7" s="302" t="s">
        <v>128</v>
      </c>
      <c r="H7" s="302" t="s">
        <v>269</v>
      </c>
      <c r="I7" s="302"/>
      <c r="J7" s="302" t="s">
        <v>128</v>
      </c>
      <c r="K7" s="302" t="s">
        <v>269</v>
      </c>
      <c r="L7" s="302"/>
      <c r="M7" s="302" t="s">
        <v>128</v>
      </c>
      <c r="N7" s="302" t="s">
        <v>129</v>
      </c>
      <c r="O7" s="302"/>
      <c r="P7" s="302" t="s">
        <v>128</v>
      </c>
      <c r="Q7" s="302" t="s">
        <v>269</v>
      </c>
    </row>
    <row r="8" spans="1:17" s="96" customFormat="1" ht="3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</row>
    <row r="9" spans="1:17" s="96" customFormat="1" ht="39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</row>
    <row r="10" spans="1:17" s="229" customFormat="1" ht="20.25" customHeight="1">
      <c r="A10" s="228" t="s">
        <v>10</v>
      </c>
      <c r="B10" s="228" t="s">
        <v>11</v>
      </c>
      <c r="C10" s="228">
        <v>1</v>
      </c>
      <c r="D10" s="228">
        <v>2</v>
      </c>
      <c r="E10" s="228">
        <v>3</v>
      </c>
      <c r="F10" s="228">
        <v>4</v>
      </c>
      <c r="G10" s="228">
        <v>5</v>
      </c>
      <c r="H10" s="228">
        <v>6</v>
      </c>
      <c r="I10" s="228">
        <v>7</v>
      </c>
      <c r="J10" s="228">
        <v>8</v>
      </c>
      <c r="K10" s="228">
        <v>9</v>
      </c>
      <c r="L10" s="228" t="s">
        <v>223</v>
      </c>
      <c r="M10" s="228" t="s">
        <v>224</v>
      </c>
      <c r="N10" s="228" t="s">
        <v>225</v>
      </c>
      <c r="O10" s="228" t="s">
        <v>147</v>
      </c>
      <c r="P10" s="228" t="s">
        <v>148</v>
      </c>
      <c r="Q10" s="228" t="s">
        <v>149</v>
      </c>
    </row>
    <row r="11" spans="1:18" s="231" customFormat="1" ht="24.75" customHeight="1">
      <c r="A11" s="235"/>
      <c r="B11" s="235" t="s">
        <v>108</v>
      </c>
      <c r="C11" s="236">
        <f>SUM(C12:C23)</f>
        <v>66502820000</v>
      </c>
      <c r="D11" s="236">
        <f aca="true" t="shared" si="0" ref="D11:K11">SUM(D12:D23)</f>
        <v>66042820000</v>
      </c>
      <c r="E11" s="236">
        <f t="shared" si="0"/>
        <v>460000000</v>
      </c>
      <c r="F11" s="236">
        <f t="shared" si="0"/>
        <v>22664458821</v>
      </c>
      <c r="G11" s="236">
        <f>SUM(G12:G23)</f>
        <v>22664458821</v>
      </c>
      <c r="H11" s="236">
        <f>SUM(H12:H23)</f>
        <v>0</v>
      </c>
      <c r="I11" s="236">
        <f t="shared" si="0"/>
        <v>29354857239</v>
      </c>
      <c r="J11" s="236">
        <f t="shared" si="0"/>
        <v>28910572239</v>
      </c>
      <c r="K11" s="236">
        <f t="shared" si="0"/>
        <v>444285000</v>
      </c>
      <c r="L11" s="237">
        <f>F11/C11</f>
        <v>0.34080447747930087</v>
      </c>
      <c r="M11" s="237">
        <f>G11/D11</f>
        <v>0.34317824134402497</v>
      </c>
      <c r="N11" s="237"/>
      <c r="O11" s="237">
        <f aca="true" t="shared" si="1" ref="O11:Q12">I11/C11</f>
        <v>0.44140770630478526</v>
      </c>
      <c r="P11" s="237">
        <f t="shared" si="1"/>
        <v>0.43775496320417573</v>
      </c>
      <c r="Q11" s="237">
        <f t="shared" si="1"/>
        <v>0.9658369565217392</v>
      </c>
      <c r="R11" s="230"/>
    </row>
    <row r="12" spans="1:18" s="233" customFormat="1" ht="24.75" customHeight="1">
      <c r="A12" s="238">
        <v>1</v>
      </c>
      <c r="B12" s="239" t="s">
        <v>111</v>
      </c>
      <c r="C12" s="240">
        <f>D12+E12</f>
        <v>7569330000</v>
      </c>
      <c r="D12" s="240">
        <v>7495360000</v>
      </c>
      <c r="E12" s="240">
        <v>73970000</v>
      </c>
      <c r="F12" s="240">
        <f>G12+H12</f>
        <v>2418717975</v>
      </c>
      <c r="G12" s="240">
        <v>2418717975</v>
      </c>
      <c r="H12" s="240"/>
      <c r="I12" s="240">
        <f>J12+K12</f>
        <v>3871300000</v>
      </c>
      <c r="J12" s="240">
        <v>3800000000</v>
      </c>
      <c r="K12" s="240">
        <v>71300000</v>
      </c>
      <c r="L12" s="241">
        <f>F12/C12</f>
        <v>0.31954188481675394</v>
      </c>
      <c r="M12" s="241">
        <f>G12/D12</f>
        <v>0.32269537086944455</v>
      </c>
      <c r="N12" s="241"/>
      <c r="O12" s="241">
        <f t="shared" si="1"/>
        <v>0.5114455308461912</v>
      </c>
      <c r="P12" s="241">
        <f t="shared" si="1"/>
        <v>0.5069803184903727</v>
      </c>
      <c r="Q12" s="241">
        <f t="shared" si="1"/>
        <v>0.9639042855211573</v>
      </c>
      <c r="R12" s="232"/>
    </row>
    <row r="13" spans="1:18" s="233" customFormat="1" ht="24.75" customHeight="1">
      <c r="A13" s="238">
        <v>2</v>
      </c>
      <c r="B13" s="239" t="s">
        <v>112</v>
      </c>
      <c r="C13" s="240">
        <f aca="true" t="shared" si="2" ref="C13:C23">D13+E13</f>
        <v>6478535000</v>
      </c>
      <c r="D13" s="240">
        <v>6403860000</v>
      </c>
      <c r="E13" s="240">
        <v>74675000</v>
      </c>
      <c r="F13" s="240">
        <f>G13+H13</f>
        <v>2565912589</v>
      </c>
      <c r="G13" s="240">
        <v>2565912589</v>
      </c>
      <c r="H13" s="240"/>
      <c r="I13" s="240">
        <f aca="true" t="shared" si="3" ref="I13:I23">J13+K13</f>
        <v>3585587589</v>
      </c>
      <c r="J13" s="240">
        <v>3510912589</v>
      </c>
      <c r="K13" s="240">
        <v>74675000</v>
      </c>
      <c r="L13" s="241">
        <f aca="true" t="shared" si="4" ref="L13:M23">F13/C13</f>
        <v>0.39606370714984174</v>
      </c>
      <c r="M13" s="241">
        <f t="shared" si="4"/>
        <v>0.400682180591081</v>
      </c>
      <c r="N13" s="241"/>
      <c r="O13" s="241">
        <f aca="true" t="shared" si="5" ref="O13:Q23">I13/C13</f>
        <v>0.5534565436475993</v>
      </c>
      <c r="P13" s="241">
        <f t="shared" si="5"/>
        <v>0.5482494290943275</v>
      </c>
      <c r="Q13" s="241">
        <f t="shared" si="5"/>
        <v>1</v>
      </c>
      <c r="R13" s="232"/>
    </row>
    <row r="14" spans="1:18" s="233" customFormat="1" ht="24.75" customHeight="1">
      <c r="A14" s="238">
        <v>3</v>
      </c>
      <c r="B14" s="239" t="s">
        <v>113</v>
      </c>
      <c r="C14" s="240">
        <f t="shared" si="2"/>
        <v>6496200000</v>
      </c>
      <c r="D14" s="240">
        <v>6434860000</v>
      </c>
      <c r="E14" s="240">
        <v>61340000</v>
      </c>
      <c r="F14" s="240">
        <f aca="true" t="shared" si="6" ref="F14:F22">G14+H14</f>
        <v>1902853838</v>
      </c>
      <c r="G14" s="240">
        <v>1902853838</v>
      </c>
      <c r="H14" s="240"/>
      <c r="I14" s="240">
        <f t="shared" si="3"/>
        <v>2364193838</v>
      </c>
      <c r="J14" s="240">
        <v>2302853838</v>
      </c>
      <c r="K14" s="240">
        <v>61340000</v>
      </c>
      <c r="L14" s="241">
        <f t="shared" si="4"/>
        <v>0.29291798867029956</v>
      </c>
      <c r="M14" s="241">
        <f t="shared" si="4"/>
        <v>0.29571021560686633</v>
      </c>
      <c r="N14" s="241"/>
      <c r="O14" s="241">
        <f t="shared" si="5"/>
        <v>0.36393489085927155</v>
      </c>
      <c r="P14" s="241">
        <f t="shared" si="5"/>
        <v>0.35787163015201573</v>
      </c>
      <c r="Q14" s="241">
        <f t="shared" si="5"/>
        <v>1</v>
      </c>
      <c r="R14" s="232"/>
    </row>
    <row r="15" spans="1:18" s="233" customFormat="1" ht="24.75" customHeight="1">
      <c r="A15" s="238">
        <v>4</v>
      </c>
      <c r="B15" s="239" t="s">
        <v>114</v>
      </c>
      <c r="C15" s="240">
        <f t="shared" si="2"/>
        <v>5075705000</v>
      </c>
      <c r="D15" s="240">
        <v>5006060000</v>
      </c>
      <c r="E15" s="240">
        <v>69645000</v>
      </c>
      <c r="F15" s="240">
        <f t="shared" si="6"/>
        <v>1847574663</v>
      </c>
      <c r="G15" s="240">
        <v>1847574663</v>
      </c>
      <c r="H15" s="240"/>
      <c r="I15" s="240">
        <f t="shared" si="3"/>
        <v>2204174633</v>
      </c>
      <c r="J15" s="240">
        <v>2147574633</v>
      </c>
      <c r="K15" s="240">
        <v>56600000</v>
      </c>
      <c r="L15" s="241">
        <f t="shared" si="4"/>
        <v>0.36400355477711965</v>
      </c>
      <c r="M15" s="241">
        <f t="shared" si="4"/>
        <v>0.3690676226413587</v>
      </c>
      <c r="N15" s="241"/>
      <c r="O15" s="241">
        <f t="shared" si="5"/>
        <v>0.43425979898358946</v>
      </c>
      <c r="P15" s="241">
        <f t="shared" si="5"/>
        <v>0.42899498467856956</v>
      </c>
      <c r="Q15" s="241">
        <f t="shared" si="5"/>
        <v>0.8126929427812477</v>
      </c>
      <c r="R15" s="232"/>
    </row>
    <row r="16" spans="1:18" s="233" customFormat="1" ht="24.75" customHeight="1">
      <c r="A16" s="238">
        <v>5</v>
      </c>
      <c r="B16" s="239" t="s">
        <v>115</v>
      </c>
      <c r="C16" s="240">
        <f t="shared" si="2"/>
        <v>5587980000</v>
      </c>
      <c r="D16" s="240">
        <v>5515360000</v>
      </c>
      <c r="E16" s="240">
        <v>72620000</v>
      </c>
      <c r="F16" s="240">
        <f t="shared" si="6"/>
        <v>1889661658</v>
      </c>
      <c r="G16" s="240">
        <v>1889661658</v>
      </c>
      <c r="H16" s="240"/>
      <c r="I16" s="240">
        <f t="shared" si="3"/>
        <v>2314239559</v>
      </c>
      <c r="J16" s="240">
        <v>2241619559</v>
      </c>
      <c r="K16" s="240">
        <v>72620000</v>
      </c>
      <c r="L16" s="241">
        <f t="shared" si="4"/>
        <v>0.3381654297259475</v>
      </c>
      <c r="M16" s="241">
        <f t="shared" si="4"/>
        <v>0.3426180082533144</v>
      </c>
      <c r="N16" s="241"/>
      <c r="O16" s="241">
        <f t="shared" si="5"/>
        <v>0.4141459989119503</v>
      </c>
      <c r="P16" s="241">
        <f t="shared" si="5"/>
        <v>0.40643213842795395</v>
      </c>
      <c r="Q16" s="241">
        <f t="shared" si="5"/>
        <v>1</v>
      </c>
      <c r="R16" s="232"/>
    </row>
    <row r="17" spans="1:18" s="233" customFormat="1" ht="24.75" customHeight="1">
      <c r="A17" s="238">
        <v>6</v>
      </c>
      <c r="B17" s="239" t="s">
        <v>116</v>
      </c>
      <c r="C17" s="240">
        <f t="shared" si="2"/>
        <v>4750180000</v>
      </c>
      <c r="D17" s="240">
        <v>4677560000</v>
      </c>
      <c r="E17" s="240">
        <v>72620000</v>
      </c>
      <c r="F17" s="240">
        <f t="shared" si="6"/>
        <v>1502525970</v>
      </c>
      <c r="G17" s="240">
        <v>1502525970</v>
      </c>
      <c r="H17" s="240"/>
      <c r="I17" s="240">
        <f t="shared" si="3"/>
        <v>2089145970</v>
      </c>
      <c r="J17" s="240">
        <v>2016525970</v>
      </c>
      <c r="K17" s="240">
        <v>72620000</v>
      </c>
      <c r="L17" s="241">
        <f t="shared" si="4"/>
        <v>0.3163092703855433</v>
      </c>
      <c r="M17" s="241">
        <f t="shared" si="4"/>
        <v>0.3212200313838839</v>
      </c>
      <c r="N17" s="241"/>
      <c r="O17" s="241">
        <f t="shared" si="5"/>
        <v>0.43980353797119265</v>
      </c>
      <c r="P17" s="241">
        <f t="shared" si="5"/>
        <v>0.43110638238739857</v>
      </c>
      <c r="Q17" s="241">
        <f t="shared" si="5"/>
        <v>1</v>
      </c>
      <c r="R17" s="232"/>
    </row>
    <row r="18" spans="1:18" s="233" customFormat="1" ht="24.75" customHeight="1">
      <c r="A18" s="238">
        <v>7</v>
      </c>
      <c r="B18" s="239" t="s">
        <v>122</v>
      </c>
      <c r="C18" s="240">
        <f t="shared" si="2"/>
        <v>5876990000</v>
      </c>
      <c r="D18" s="240">
        <v>5841860000</v>
      </c>
      <c r="E18" s="240">
        <v>35130000</v>
      </c>
      <c r="F18" s="240">
        <f t="shared" si="6"/>
        <v>2049767697</v>
      </c>
      <c r="G18" s="240">
        <v>2049767697</v>
      </c>
      <c r="H18" s="240"/>
      <c r="I18" s="240">
        <f t="shared" si="3"/>
        <v>2484897697</v>
      </c>
      <c r="J18" s="240">
        <v>2449767697</v>
      </c>
      <c r="K18" s="240">
        <v>35130000</v>
      </c>
      <c r="L18" s="241">
        <f t="shared" si="4"/>
        <v>0.3487784898391864</v>
      </c>
      <c r="M18" s="241">
        <f t="shared" si="4"/>
        <v>0.35087586778868374</v>
      </c>
      <c r="N18" s="241"/>
      <c r="O18" s="241">
        <f t="shared" si="5"/>
        <v>0.42281809174424323</v>
      </c>
      <c r="P18" s="241">
        <f t="shared" si="5"/>
        <v>0.4193472108198416</v>
      </c>
      <c r="Q18" s="241">
        <f t="shared" si="5"/>
        <v>1</v>
      </c>
      <c r="R18" s="232"/>
    </row>
    <row r="19" spans="1:18" s="233" customFormat="1" ht="24.75" customHeight="1">
      <c r="A19" s="238">
        <v>8</v>
      </c>
      <c r="B19" s="239" t="s">
        <v>119</v>
      </c>
      <c r="C19" s="240">
        <f t="shared" si="2"/>
        <v>5293760000</v>
      </c>
      <c r="D19" s="240">
        <v>5293760000</v>
      </c>
      <c r="E19" s="240"/>
      <c r="F19" s="240">
        <f t="shared" si="6"/>
        <v>1592839230</v>
      </c>
      <c r="G19" s="240">
        <v>1592839230</v>
      </c>
      <c r="H19" s="240"/>
      <c r="I19" s="240">
        <f t="shared" si="3"/>
        <v>2178839230</v>
      </c>
      <c r="J19" s="240">
        <v>2178839230</v>
      </c>
      <c r="K19" s="240"/>
      <c r="L19" s="241">
        <f t="shared" si="4"/>
        <v>0.30088995912168287</v>
      </c>
      <c r="M19" s="241">
        <f t="shared" si="4"/>
        <v>0.30088995912168287</v>
      </c>
      <c r="N19" s="241"/>
      <c r="O19" s="241">
        <f t="shared" si="5"/>
        <v>0.4115863261651454</v>
      </c>
      <c r="P19" s="241">
        <f t="shared" si="5"/>
        <v>0.4115863261651454</v>
      </c>
      <c r="Q19" s="241"/>
      <c r="R19" s="232"/>
    </row>
    <row r="20" spans="1:18" s="233" customFormat="1" ht="24.75" customHeight="1">
      <c r="A20" s="238">
        <v>9</v>
      </c>
      <c r="B20" s="239" t="s">
        <v>121</v>
      </c>
      <c r="C20" s="240">
        <f t="shared" si="2"/>
        <v>4745460000</v>
      </c>
      <c r="D20" s="240">
        <v>4745460000</v>
      </c>
      <c r="E20" s="240"/>
      <c r="F20" s="240">
        <f t="shared" si="6"/>
        <v>1694772746</v>
      </c>
      <c r="G20" s="240">
        <v>1694772746</v>
      </c>
      <c r="H20" s="240"/>
      <c r="I20" s="240">
        <f t="shared" si="3"/>
        <v>2149221441</v>
      </c>
      <c r="J20" s="240">
        <v>2149221441</v>
      </c>
      <c r="K20" s="240"/>
      <c r="L20" s="241">
        <f t="shared" si="4"/>
        <v>0.35713560877133094</v>
      </c>
      <c r="M20" s="241">
        <f t="shared" si="4"/>
        <v>0.35713560877133094</v>
      </c>
      <c r="N20" s="241"/>
      <c r="O20" s="241">
        <f t="shared" si="5"/>
        <v>0.45290054936718466</v>
      </c>
      <c r="P20" s="241">
        <f t="shared" si="5"/>
        <v>0.45290054936718466</v>
      </c>
      <c r="Q20" s="241"/>
      <c r="R20" s="232"/>
    </row>
    <row r="21" spans="1:18" s="233" customFormat="1" ht="24.75" customHeight="1">
      <c r="A21" s="238">
        <v>10</v>
      </c>
      <c r="B21" s="239" t="s">
        <v>118</v>
      </c>
      <c r="C21" s="240">
        <f t="shared" si="2"/>
        <v>4906660000</v>
      </c>
      <c r="D21" s="240">
        <v>4906660000</v>
      </c>
      <c r="E21" s="240"/>
      <c r="F21" s="240">
        <f t="shared" si="6"/>
        <v>1605343583</v>
      </c>
      <c r="G21" s="240">
        <v>1605343583</v>
      </c>
      <c r="H21" s="240"/>
      <c r="I21" s="240">
        <f t="shared" si="3"/>
        <v>1900342096</v>
      </c>
      <c r="J21" s="240">
        <v>1900342096</v>
      </c>
      <c r="K21" s="240"/>
      <c r="L21" s="241">
        <f t="shared" si="4"/>
        <v>0.32717644650332406</v>
      </c>
      <c r="M21" s="241">
        <f t="shared" si="4"/>
        <v>0.32717644650332406</v>
      </c>
      <c r="N21" s="241"/>
      <c r="O21" s="241">
        <f t="shared" si="5"/>
        <v>0.3872985077425377</v>
      </c>
      <c r="P21" s="241">
        <f t="shared" si="5"/>
        <v>0.3872985077425377</v>
      </c>
      <c r="Q21" s="241"/>
      <c r="R21" s="232"/>
    </row>
    <row r="22" spans="1:18" s="233" customFormat="1" ht="24.75" customHeight="1">
      <c r="A22" s="238">
        <v>11</v>
      </c>
      <c r="B22" s="239" t="s">
        <v>120</v>
      </c>
      <c r="C22" s="240">
        <f t="shared" si="2"/>
        <v>4479360000</v>
      </c>
      <c r="D22" s="240">
        <v>4479360000</v>
      </c>
      <c r="E22" s="240"/>
      <c r="F22" s="240">
        <f t="shared" si="6"/>
        <v>1530901256</v>
      </c>
      <c r="G22" s="240">
        <v>1530901256</v>
      </c>
      <c r="H22" s="240"/>
      <c r="I22" s="240">
        <f t="shared" si="3"/>
        <v>1830901256</v>
      </c>
      <c r="J22" s="240">
        <v>1830901256</v>
      </c>
      <c r="K22" s="240"/>
      <c r="L22" s="241">
        <f t="shared" si="4"/>
        <v>0.3417678543363338</v>
      </c>
      <c r="M22" s="241">
        <f t="shared" si="4"/>
        <v>0.3417678543363338</v>
      </c>
      <c r="N22" s="241"/>
      <c r="O22" s="241">
        <f t="shared" si="5"/>
        <v>0.4087417077439634</v>
      </c>
      <c r="P22" s="241">
        <f t="shared" si="5"/>
        <v>0.4087417077439634</v>
      </c>
      <c r="Q22" s="241"/>
      <c r="R22" s="232"/>
    </row>
    <row r="23" spans="1:18" s="233" customFormat="1" ht="24.75" customHeight="1">
      <c r="A23" s="238">
        <v>12</v>
      </c>
      <c r="B23" s="239" t="s">
        <v>117</v>
      </c>
      <c r="C23" s="240">
        <f t="shared" si="2"/>
        <v>5242660000</v>
      </c>
      <c r="D23" s="240">
        <v>5242660000</v>
      </c>
      <c r="E23" s="240"/>
      <c r="F23" s="240">
        <f>G23+H23</f>
        <v>2063587616</v>
      </c>
      <c r="G23" s="240">
        <v>2063587616</v>
      </c>
      <c r="H23" s="240"/>
      <c r="I23" s="240">
        <f t="shared" si="3"/>
        <v>2382013930</v>
      </c>
      <c r="J23" s="240">
        <v>2382013930</v>
      </c>
      <c r="K23" s="240"/>
      <c r="L23" s="241">
        <f t="shared" si="4"/>
        <v>0.39361461853333995</v>
      </c>
      <c r="M23" s="241">
        <f t="shared" si="4"/>
        <v>0.39361461853333995</v>
      </c>
      <c r="N23" s="241"/>
      <c r="O23" s="241">
        <f t="shared" si="5"/>
        <v>0.4543521666482282</v>
      </c>
      <c r="P23" s="241">
        <f t="shared" si="5"/>
        <v>0.4543521666482282</v>
      </c>
      <c r="Q23" s="241"/>
      <c r="R23" s="232"/>
    </row>
    <row r="24" spans="1:17" ht="22.5" customHeight="1" hidden="1">
      <c r="A24" s="234"/>
      <c r="B24" s="234"/>
      <c r="C24" s="234"/>
      <c r="D24" s="91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1:17" ht="18.75" hidden="1">
      <c r="A25" s="23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</row>
    <row r="26" spans="1:17" ht="18.75" hidden="1">
      <c r="A26" s="234"/>
      <c r="B26" s="234"/>
      <c r="C26" s="91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7" ht="18.75" hidden="1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7" ht="18.75" hidden="1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</sheetData>
  <sheetProtection/>
  <mergeCells count="31">
    <mergeCell ref="A1:Q1"/>
    <mergeCell ref="A2:Q2"/>
    <mergeCell ref="A3:Q3"/>
    <mergeCell ref="A4:Q4"/>
    <mergeCell ref="A5:A9"/>
    <mergeCell ref="Q7:Q9"/>
    <mergeCell ref="B5:B9"/>
    <mergeCell ref="C5:E5"/>
    <mergeCell ref="I5:K5"/>
    <mergeCell ref="K7:K9"/>
    <mergeCell ref="J6:K6"/>
    <mergeCell ref="O5:Q5"/>
    <mergeCell ref="D6:E6"/>
    <mergeCell ref="O6:O9"/>
    <mergeCell ref="N7:N9"/>
    <mergeCell ref="M7:M9"/>
    <mergeCell ref="F5:H5"/>
    <mergeCell ref="G6:H6"/>
    <mergeCell ref="L5:N5"/>
    <mergeCell ref="D7:D9"/>
    <mergeCell ref="E7:E9"/>
    <mergeCell ref="P6:Q6"/>
    <mergeCell ref="H7:H9"/>
    <mergeCell ref="P7:P9"/>
    <mergeCell ref="I6:I9"/>
    <mergeCell ref="G7:G9"/>
    <mergeCell ref="M6:N6"/>
    <mergeCell ref="C6:C9"/>
    <mergeCell ref="J7:J9"/>
    <mergeCell ref="F6:F9"/>
    <mergeCell ref="L6:L9"/>
  </mergeCells>
  <printOptions/>
  <pageMargins left="0.7086614173228347" right="0.5511811023622047" top="0.3937007874015748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0"/>
  <sheetViews>
    <sheetView view="pageBreakPreview" zoomScale="130" zoomScaleSheetLayoutView="130" zoomScalePageLayoutView="0" workbookViewId="0" topLeftCell="A1">
      <selection activeCell="B4" sqref="B4"/>
    </sheetView>
  </sheetViews>
  <sheetFormatPr defaultColWidth="8.88671875" defaultRowHeight="16.5"/>
  <cols>
    <col min="1" max="1" width="5.3359375" style="163" customWidth="1"/>
    <col min="2" max="2" width="45.99609375" style="163" customWidth="1"/>
    <col min="3" max="3" width="14.10546875" style="163" customWidth="1"/>
    <col min="4" max="5" width="13.4453125" style="163" customWidth="1"/>
    <col min="6" max="7" width="7.3359375" style="163" customWidth="1"/>
    <col min="8" max="8" width="13.6640625" style="163" customWidth="1"/>
    <col min="9" max="9" width="14.6640625" style="163" customWidth="1"/>
    <col min="10" max="16384" width="8.88671875" style="163" customWidth="1"/>
  </cols>
  <sheetData>
    <row r="1" spans="1:16" ht="36.75" customHeight="1">
      <c r="A1" s="306" t="s">
        <v>203</v>
      </c>
      <c r="B1" s="306"/>
      <c r="C1" s="306"/>
      <c r="D1" s="306"/>
      <c r="E1" s="306"/>
      <c r="F1" s="306"/>
      <c r="G1" s="306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21.75" customHeight="1">
      <c r="A2" s="307" t="str">
        <f>'Biểu 04'!A3:Q3</f>
        <v>(Kèm theo Báo cáo số 155a /BC-UBND ngày 31 /5/2021 của UBND huyện Tủa Chùa)</v>
      </c>
      <c r="B2" s="307"/>
      <c r="C2" s="307"/>
      <c r="D2" s="307"/>
      <c r="E2" s="307"/>
      <c r="F2" s="307"/>
      <c r="G2" s="307"/>
      <c r="H2" s="164"/>
      <c r="I2" s="164"/>
      <c r="J2" s="162"/>
      <c r="K2" s="162"/>
      <c r="L2" s="162"/>
      <c r="M2" s="162"/>
      <c r="N2" s="162"/>
      <c r="O2" s="162"/>
      <c r="P2" s="162"/>
    </row>
    <row r="3" spans="1:16" ht="20.25" customHeight="1">
      <c r="A3" s="308" t="s">
        <v>72</v>
      </c>
      <c r="B3" s="308"/>
      <c r="C3" s="308"/>
      <c r="D3" s="308"/>
      <c r="E3" s="308"/>
      <c r="F3" s="308"/>
      <c r="G3" s="242"/>
      <c r="H3" s="162"/>
      <c r="I3" s="162"/>
      <c r="J3" s="162"/>
      <c r="K3" s="162"/>
      <c r="L3" s="162"/>
      <c r="M3" s="162"/>
      <c r="N3" s="162"/>
      <c r="O3" s="162"/>
      <c r="P3" s="162"/>
    </row>
    <row r="4" spans="1:16" s="167" customFormat="1" ht="56.25">
      <c r="A4" s="165" t="s">
        <v>204</v>
      </c>
      <c r="B4" s="165" t="s">
        <v>205</v>
      </c>
      <c r="C4" s="165" t="s">
        <v>206</v>
      </c>
      <c r="D4" s="165" t="s">
        <v>243</v>
      </c>
      <c r="E4" s="165" t="s">
        <v>270</v>
      </c>
      <c r="F4" s="165" t="s">
        <v>207</v>
      </c>
      <c r="G4" s="165" t="s">
        <v>271</v>
      </c>
      <c r="H4" s="162"/>
      <c r="I4" s="162"/>
      <c r="J4" s="162"/>
      <c r="K4" s="162"/>
      <c r="L4" s="162"/>
      <c r="M4" s="162"/>
      <c r="N4" s="162"/>
      <c r="O4" s="162"/>
      <c r="P4" s="166"/>
    </row>
    <row r="5" spans="1:16" s="243" customFormat="1" ht="24" customHeight="1">
      <c r="A5" s="168">
        <v>1</v>
      </c>
      <c r="B5" s="169" t="s">
        <v>208</v>
      </c>
      <c r="C5" s="247">
        <v>200000000</v>
      </c>
      <c r="D5" s="247">
        <v>255948123</v>
      </c>
      <c r="E5" s="247">
        <f>D5</f>
        <v>255948123</v>
      </c>
      <c r="F5" s="248">
        <f aca="true" t="shared" si="0" ref="F5:F39">D5/C5</f>
        <v>1.279740615</v>
      </c>
      <c r="G5" s="248">
        <f>E5/C5</f>
        <v>1.279740615</v>
      </c>
      <c r="H5" s="172"/>
      <c r="I5" s="175"/>
      <c r="J5" s="175"/>
      <c r="K5" s="175"/>
      <c r="L5" s="175"/>
      <c r="M5" s="175"/>
      <c r="N5" s="175"/>
      <c r="O5" s="175"/>
      <c r="P5" s="175"/>
    </row>
    <row r="6" spans="1:16" s="243" customFormat="1" ht="24" customHeight="1">
      <c r="A6" s="168">
        <v>2</v>
      </c>
      <c r="B6" s="169" t="s">
        <v>209</v>
      </c>
      <c r="C6" s="247">
        <f>C7</f>
        <v>2000000</v>
      </c>
      <c r="D6" s="247">
        <f>D7</f>
        <v>0</v>
      </c>
      <c r="E6" s="247">
        <f>E7</f>
        <v>0</v>
      </c>
      <c r="F6" s="248">
        <f t="shared" si="0"/>
        <v>0</v>
      </c>
      <c r="G6" s="248">
        <f aca="true" t="shared" si="1" ref="G6:G40">E6/C6</f>
        <v>0</v>
      </c>
      <c r="H6" s="175"/>
      <c r="I6" s="175"/>
      <c r="J6" s="175"/>
      <c r="K6" s="175"/>
      <c r="L6" s="175"/>
      <c r="M6" s="175"/>
      <c r="N6" s="175"/>
      <c r="O6" s="175"/>
      <c r="P6" s="175"/>
    </row>
    <row r="7" spans="1:16" s="167" customFormat="1" ht="24" customHeight="1">
      <c r="A7" s="170"/>
      <c r="B7" s="171" t="s">
        <v>210</v>
      </c>
      <c r="C7" s="249">
        <v>2000000</v>
      </c>
      <c r="D7" s="249"/>
      <c r="E7" s="249"/>
      <c r="F7" s="250">
        <f t="shared" si="0"/>
        <v>0</v>
      </c>
      <c r="G7" s="250">
        <f t="shared" si="1"/>
        <v>0</v>
      </c>
      <c r="H7" s="162"/>
      <c r="I7" s="162"/>
      <c r="J7" s="162"/>
      <c r="K7" s="162"/>
      <c r="L7" s="162"/>
      <c r="M7" s="162"/>
      <c r="N7" s="162"/>
      <c r="O7" s="162"/>
      <c r="P7" s="162"/>
    </row>
    <row r="8" spans="1:16" s="243" customFormat="1" ht="24" customHeight="1">
      <c r="A8" s="168">
        <v>3</v>
      </c>
      <c r="B8" s="169" t="s">
        <v>211</v>
      </c>
      <c r="C8" s="247">
        <f>C9+C10+C11</f>
        <v>50000000</v>
      </c>
      <c r="D8" s="247">
        <f>D9+D10+D11</f>
        <v>9400000</v>
      </c>
      <c r="E8" s="247">
        <f>E9+E10+E11</f>
        <v>9400000</v>
      </c>
      <c r="F8" s="248">
        <f t="shared" si="0"/>
        <v>0.188</v>
      </c>
      <c r="G8" s="248">
        <f t="shared" si="1"/>
        <v>0.188</v>
      </c>
      <c r="H8" s="175"/>
      <c r="I8" s="175"/>
      <c r="J8" s="175"/>
      <c r="K8" s="175"/>
      <c r="L8" s="175"/>
      <c r="M8" s="175"/>
      <c r="N8" s="175"/>
      <c r="O8" s="175"/>
      <c r="P8" s="175"/>
    </row>
    <row r="9" spans="1:16" s="167" customFormat="1" ht="24" customHeight="1">
      <c r="A9" s="168" t="s">
        <v>47</v>
      </c>
      <c r="B9" s="171" t="s">
        <v>212</v>
      </c>
      <c r="C9" s="249">
        <v>25000000</v>
      </c>
      <c r="D9" s="249">
        <v>9400000</v>
      </c>
      <c r="E9" s="249">
        <f>D9</f>
        <v>9400000</v>
      </c>
      <c r="F9" s="250">
        <f t="shared" si="0"/>
        <v>0.376</v>
      </c>
      <c r="G9" s="250">
        <f t="shared" si="1"/>
        <v>0.376</v>
      </c>
      <c r="H9" s="162"/>
      <c r="I9" s="162"/>
      <c r="J9" s="162"/>
      <c r="K9" s="162"/>
      <c r="L9" s="162"/>
      <c r="M9" s="162"/>
      <c r="N9" s="162"/>
      <c r="O9" s="162"/>
      <c r="P9" s="162"/>
    </row>
    <row r="10" spans="1:16" s="167" customFormat="1" ht="24" customHeight="1">
      <c r="A10" s="168" t="s">
        <v>47</v>
      </c>
      <c r="B10" s="171" t="s">
        <v>213</v>
      </c>
      <c r="C10" s="249">
        <v>5000000</v>
      </c>
      <c r="D10" s="249"/>
      <c r="E10" s="249"/>
      <c r="F10" s="250">
        <f t="shared" si="0"/>
        <v>0</v>
      </c>
      <c r="G10" s="250">
        <f t="shared" si="1"/>
        <v>0</v>
      </c>
      <c r="H10" s="162"/>
      <c r="I10" s="162"/>
      <c r="J10" s="162"/>
      <c r="K10" s="162"/>
      <c r="L10" s="162"/>
      <c r="M10" s="162"/>
      <c r="N10" s="162"/>
      <c r="O10" s="162"/>
      <c r="P10" s="162"/>
    </row>
    <row r="11" spans="1:16" s="167" customFormat="1" ht="24" customHeight="1">
      <c r="A11" s="168" t="s">
        <v>47</v>
      </c>
      <c r="B11" s="171" t="s">
        <v>214</v>
      </c>
      <c r="C11" s="249">
        <v>20000000</v>
      </c>
      <c r="D11" s="249"/>
      <c r="E11" s="249"/>
      <c r="F11" s="250">
        <f t="shared" si="0"/>
        <v>0</v>
      </c>
      <c r="G11" s="250">
        <f t="shared" si="1"/>
        <v>0</v>
      </c>
      <c r="H11" s="162"/>
      <c r="I11" s="162"/>
      <c r="J11" s="162"/>
      <c r="K11" s="162"/>
      <c r="L11" s="162"/>
      <c r="M11" s="162"/>
      <c r="N11" s="162"/>
      <c r="O11" s="162"/>
      <c r="P11" s="162"/>
    </row>
    <row r="12" spans="1:16" s="243" customFormat="1" ht="24" customHeight="1">
      <c r="A12" s="168">
        <v>4</v>
      </c>
      <c r="B12" s="169" t="s">
        <v>215</v>
      </c>
      <c r="C12" s="247">
        <f>C13</f>
        <v>15000000</v>
      </c>
      <c r="D12" s="247">
        <f>D13</f>
        <v>0</v>
      </c>
      <c r="E12" s="247">
        <f>E13</f>
        <v>0</v>
      </c>
      <c r="F12" s="248">
        <f t="shared" si="0"/>
        <v>0</v>
      </c>
      <c r="G12" s="248">
        <f t="shared" si="1"/>
        <v>0</v>
      </c>
      <c r="H12" s="175"/>
      <c r="I12" s="175"/>
      <c r="J12" s="175"/>
      <c r="K12" s="175"/>
      <c r="L12" s="175"/>
      <c r="M12" s="175"/>
      <c r="N12" s="175"/>
      <c r="O12" s="175"/>
      <c r="P12" s="175"/>
    </row>
    <row r="13" spans="1:16" s="167" customFormat="1" ht="24" customHeight="1">
      <c r="A13" s="170"/>
      <c r="B13" s="171" t="s">
        <v>216</v>
      </c>
      <c r="C13" s="249">
        <v>15000000</v>
      </c>
      <c r="D13" s="249"/>
      <c r="E13" s="249"/>
      <c r="F13" s="250">
        <f t="shared" si="0"/>
        <v>0</v>
      </c>
      <c r="G13" s="250">
        <f t="shared" si="1"/>
        <v>0</v>
      </c>
      <c r="H13" s="162"/>
      <c r="I13" s="162"/>
      <c r="J13" s="162"/>
      <c r="K13" s="162"/>
      <c r="L13" s="162"/>
      <c r="M13" s="162"/>
      <c r="N13" s="162"/>
      <c r="O13" s="162"/>
      <c r="P13" s="162"/>
    </row>
    <row r="14" spans="1:8" s="243" customFormat="1" ht="24" customHeight="1">
      <c r="A14" s="168">
        <v>5</v>
      </c>
      <c r="B14" s="169" t="s">
        <v>217</v>
      </c>
      <c r="C14" s="247">
        <f>C15</f>
        <v>200000000</v>
      </c>
      <c r="D14" s="247">
        <f>D15</f>
        <v>212150000</v>
      </c>
      <c r="E14" s="247">
        <f>E15</f>
        <v>212150000</v>
      </c>
      <c r="F14" s="248">
        <f t="shared" si="0"/>
        <v>1.06075</v>
      </c>
      <c r="G14" s="248">
        <f t="shared" si="1"/>
        <v>1.06075</v>
      </c>
      <c r="H14" s="172"/>
    </row>
    <row r="15" spans="1:8" s="167" customFormat="1" ht="24" customHeight="1">
      <c r="A15" s="170"/>
      <c r="B15" s="171" t="s">
        <v>218</v>
      </c>
      <c r="C15" s="249">
        <v>200000000</v>
      </c>
      <c r="D15" s="249">
        <v>212150000</v>
      </c>
      <c r="E15" s="249">
        <f>D15</f>
        <v>212150000</v>
      </c>
      <c r="F15" s="250">
        <f t="shared" si="0"/>
        <v>1.06075</v>
      </c>
      <c r="G15" s="250">
        <f t="shared" si="1"/>
        <v>1.06075</v>
      </c>
      <c r="H15" s="166"/>
    </row>
    <row r="16" spans="1:9" s="243" customFormat="1" ht="24" customHeight="1">
      <c r="A16" s="168">
        <v>6</v>
      </c>
      <c r="B16" s="169" t="s">
        <v>219</v>
      </c>
      <c r="C16" s="247">
        <f>C17</f>
        <v>270000000</v>
      </c>
      <c r="D16" s="247">
        <f>D17</f>
        <v>104131806</v>
      </c>
      <c r="E16" s="247">
        <f>E17</f>
        <v>120000000</v>
      </c>
      <c r="F16" s="248">
        <f t="shared" si="0"/>
        <v>0.38567335555555554</v>
      </c>
      <c r="G16" s="248">
        <f t="shared" si="1"/>
        <v>0.4444444444444444</v>
      </c>
      <c r="H16" s="172"/>
      <c r="I16" s="244"/>
    </row>
    <row r="17" spans="1:9" s="167" customFormat="1" ht="24" customHeight="1">
      <c r="A17" s="170"/>
      <c r="B17" s="174" t="s">
        <v>220</v>
      </c>
      <c r="C17" s="249">
        <v>270000000</v>
      </c>
      <c r="D17" s="249">
        <v>104131806</v>
      </c>
      <c r="E17" s="249">
        <v>120000000</v>
      </c>
      <c r="F17" s="250">
        <f t="shared" si="0"/>
        <v>0.38567335555555554</v>
      </c>
      <c r="G17" s="250">
        <f t="shared" si="1"/>
        <v>0.4444444444444444</v>
      </c>
      <c r="H17" s="166"/>
      <c r="I17" s="173"/>
    </row>
    <row r="18" spans="1:8" s="243" customFormat="1" ht="24" customHeight="1">
      <c r="A18" s="168">
        <v>7</v>
      </c>
      <c r="B18" s="169" t="s">
        <v>112</v>
      </c>
      <c r="C18" s="247">
        <f>C19</f>
        <v>30000000</v>
      </c>
      <c r="D18" s="247">
        <f>D19</f>
        <v>8486000</v>
      </c>
      <c r="E18" s="247">
        <f>E19</f>
        <v>10000000</v>
      </c>
      <c r="F18" s="248">
        <f t="shared" si="0"/>
        <v>0.28286666666666666</v>
      </c>
      <c r="G18" s="248">
        <f t="shared" si="1"/>
        <v>0.3333333333333333</v>
      </c>
      <c r="H18" s="172"/>
    </row>
    <row r="19" spans="1:9" s="167" customFormat="1" ht="24" customHeight="1">
      <c r="A19" s="170"/>
      <c r="B19" s="174" t="s">
        <v>220</v>
      </c>
      <c r="C19" s="249">
        <v>30000000</v>
      </c>
      <c r="D19" s="249">
        <v>8486000</v>
      </c>
      <c r="E19" s="249">
        <v>10000000</v>
      </c>
      <c r="F19" s="250">
        <f t="shared" si="0"/>
        <v>0.28286666666666666</v>
      </c>
      <c r="G19" s="250">
        <f t="shared" si="1"/>
        <v>0.3333333333333333</v>
      </c>
      <c r="H19" s="166"/>
      <c r="I19" s="173"/>
    </row>
    <row r="20" spans="1:8" s="243" customFormat="1" ht="24" customHeight="1">
      <c r="A20" s="168">
        <v>8</v>
      </c>
      <c r="B20" s="169" t="s">
        <v>113</v>
      </c>
      <c r="C20" s="247">
        <f>C21</f>
        <v>50000000</v>
      </c>
      <c r="D20" s="247">
        <f>D21</f>
        <v>13481175</v>
      </c>
      <c r="E20" s="247">
        <f>E21</f>
        <v>15481179</v>
      </c>
      <c r="F20" s="248">
        <f t="shared" si="0"/>
        <v>0.2696235</v>
      </c>
      <c r="G20" s="248">
        <f t="shared" si="1"/>
        <v>0.30962358</v>
      </c>
      <c r="H20" s="175"/>
    </row>
    <row r="21" spans="1:8" s="167" customFormat="1" ht="24" customHeight="1">
      <c r="A21" s="170"/>
      <c r="B21" s="174" t="s">
        <v>220</v>
      </c>
      <c r="C21" s="249">
        <v>50000000</v>
      </c>
      <c r="D21" s="249">
        <v>13481175</v>
      </c>
      <c r="E21" s="249">
        <v>15481179</v>
      </c>
      <c r="F21" s="250">
        <f t="shared" si="0"/>
        <v>0.2696235</v>
      </c>
      <c r="G21" s="250">
        <f t="shared" si="1"/>
        <v>0.30962358</v>
      </c>
      <c r="H21" s="162"/>
    </row>
    <row r="22" spans="1:8" s="243" customFormat="1" ht="24" customHeight="1">
      <c r="A22" s="168">
        <v>9</v>
      </c>
      <c r="B22" s="169" t="s">
        <v>114</v>
      </c>
      <c r="C22" s="247">
        <f>C23</f>
        <v>22000000</v>
      </c>
      <c r="D22" s="247">
        <f>D23</f>
        <v>4219950</v>
      </c>
      <c r="E22" s="247">
        <f>E23</f>
        <v>11000000</v>
      </c>
      <c r="F22" s="248">
        <f t="shared" si="0"/>
        <v>0.1918159090909091</v>
      </c>
      <c r="G22" s="248">
        <f t="shared" si="1"/>
        <v>0.5</v>
      </c>
      <c r="H22" s="175"/>
    </row>
    <row r="23" spans="1:8" s="167" customFormat="1" ht="24" customHeight="1">
      <c r="A23" s="170"/>
      <c r="B23" s="174" t="s">
        <v>220</v>
      </c>
      <c r="C23" s="249">
        <v>22000000</v>
      </c>
      <c r="D23" s="249">
        <v>4219950</v>
      </c>
      <c r="E23" s="249">
        <v>11000000</v>
      </c>
      <c r="F23" s="250">
        <f t="shared" si="0"/>
        <v>0.1918159090909091</v>
      </c>
      <c r="G23" s="250">
        <f t="shared" si="1"/>
        <v>0.5</v>
      </c>
      <c r="H23" s="162"/>
    </row>
    <row r="24" spans="1:8" s="243" customFormat="1" ht="24" customHeight="1">
      <c r="A24" s="168">
        <v>10</v>
      </c>
      <c r="B24" s="169" t="s">
        <v>115</v>
      </c>
      <c r="C24" s="247">
        <f>C25</f>
        <v>22000000</v>
      </c>
      <c r="D24" s="247">
        <f>D25</f>
        <v>0</v>
      </c>
      <c r="E24" s="247">
        <f>E25</f>
        <v>3000000</v>
      </c>
      <c r="F24" s="248">
        <f t="shared" si="0"/>
        <v>0</v>
      </c>
      <c r="G24" s="248">
        <f t="shared" si="1"/>
        <v>0.13636363636363635</v>
      </c>
      <c r="H24" s="175"/>
    </row>
    <row r="25" spans="1:8" s="167" customFormat="1" ht="24" customHeight="1">
      <c r="A25" s="170"/>
      <c r="B25" s="174" t="s">
        <v>220</v>
      </c>
      <c r="C25" s="249">
        <v>22000000</v>
      </c>
      <c r="D25" s="249"/>
      <c r="E25" s="249">
        <v>3000000</v>
      </c>
      <c r="F25" s="250">
        <f t="shared" si="0"/>
        <v>0</v>
      </c>
      <c r="G25" s="250">
        <f t="shared" si="1"/>
        <v>0.13636363636363635</v>
      </c>
      <c r="H25" s="162"/>
    </row>
    <row r="26" spans="1:8" s="243" customFormat="1" ht="24" customHeight="1">
      <c r="A26" s="168">
        <v>11</v>
      </c>
      <c r="B26" s="169" t="s">
        <v>116</v>
      </c>
      <c r="C26" s="247">
        <f>C27</f>
        <v>22000000</v>
      </c>
      <c r="D26" s="247">
        <f>D27</f>
        <v>0</v>
      </c>
      <c r="E26" s="247">
        <f>E27</f>
        <v>6000000</v>
      </c>
      <c r="F26" s="248">
        <f t="shared" si="0"/>
        <v>0</v>
      </c>
      <c r="G26" s="248">
        <f t="shared" si="1"/>
        <v>0.2727272727272727</v>
      </c>
      <c r="H26" s="175"/>
    </row>
    <row r="27" spans="1:8" s="167" customFormat="1" ht="24" customHeight="1">
      <c r="A27" s="170"/>
      <c r="B27" s="174" t="s">
        <v>220</v>
      </c>
      <c r="C27" s="249">
        <v>22000000</v>
      </c>
      <c r="D27" s="249"/>
      <c r="E27" s="249">
        <v>6000000</v>
      </c>
      <c r="F27" s="250">
        <f t="shared" si="0"/>
        <v>0</v>
      </c>
      <c r="G27" s="250">
        <f t="shared" si="1"/>
        <v>0.2727272727272727</v>
      </c>
      <c r="H27" s="162"/>
    </row>
    <row r="28" spans="1:8" s="243" customFormat="1" ht="24" customHeight="1">
      <c r="A28" s="168">
        <v>12</v>
      </c>
      <c r="B28" s="169" t="s">
        <v>120</v>
      </c>
      <c r="C28" s="247">
        <f>C29</f>
        <v>20000000</v>
      </c>
      <c r="D28" s="247">
        <f>D29</f>
        <v>1000000</v>
      </c>
      <c r="E28" s="247">
        <f>E29</f>
        <v>3000000</v>
      </c>
      <c r="F28" s="248">
        <f t="shared" si="0"/>
        <v>0.05</v>
      </c>
      <c r="G28" s="248">
        <f t="shared" si="1"/>
        <v>0.15</v>
      </c>
      <c r="H28" s="175"/>
    </row>
    <row r="29" spans="1:8" s="167" customFormat="1" ht="24" customHeight="1">
      <c r="A29" s="170"/>
      <c r="B29" s="174" t="s">
        <v>220</v>
      </c>
      <c r="C29" s="249">
        <v>20000000</v>
      </c>
      <c r="D29" s="249">
        <v>1000000</v>
      </c>
      <c r="E29" s="249">
        <v>3000000</v>
      </c>
      <c r="F29" s="250">
        <f t="shared" si="0"/>
        <v>0.05</v>
      </c>
      <c r="G29" s="250">
        <f t="shared" si="1"/>
        <v>0.15</v>
      </c>
      <c r="H29" s="176"/>
    </row>
    <row r="30" spans="1:7" s="243" customFormat="1" ht="24" customHeight="1">
      <c r="A30" s="168">
        <v>13</v>
      </c>
      <c r="B30" s="169" t="s">
        <v>118</v>
      </c>
      <c r="C30" s="247">
        <f>C31</f>
        <v>50000000</v>
      </c>
      <c r="D30" s="247">
        <f>D31</f>
        <v>0</v>
      </c>
      <c r="E30" s="247">
        <f>E31</f>
        <v>10000000</v>
      </c>
      <c r="F30" s="248">
        <f t="shared" si="0"/>
        <v>0</v>
      </c>
      <c r="G30" s="248">
        <f t="shared" si="1"/>
        <v>0.2</v>
      </c>
    </row>
    <row r="31" spans="1:7" s="167" customFormat="1" ht="24" customHeight="1">
      <c r="A31" s="170"/>
      <c r="B31" s="174" t="s">
        <v>220</v>
      </c>
      <c r="C31" s="249">
        <v>50000000</v>
      </c>
      <c r="D31" s="249"/>
      <c r="E31" s="249">
        <v>10000000</v>
      </c>
      <c r="F31" s="250">
        <f t="shared" si="0"/>
        <v>0</v>
      </c>
      <c r="G31" s="250">
        <f t="shared" si="1"/>
        <v>0.2</v>
      </c>
    </row>
    <row r="32" spans="1:7" s="243" customFormat="1" ht="24" customHeight="1">
      <c r="A32" s="168">
        <v>14</v>
      </c>
      <c r="B32" s="169" t="s">
        <v>119</v>
      </c>
      <c r="C32" s="247">
        <f>C33</f>
        <v>22000000</v>
      </c>
      <c r="D32" s="247">
        <f>D33</f>
        <v>0</v>
      </c>
      <c r="E32" s="247">
        <f>E33</f>
        <v>4000000</v>
      </c>
      <c r="F32" s="248">
        <f t="shared" si="0"/>
        <v>0</v>
      </c>
      <c r="G32" s="248">
        <f t="shared" si="1"/>
        <v>0.18181818181818182</v>
      </c>
    </row>
    <row r="33" spans="1:7" s="167" customFormat="1" ht="24" customHeight="1">
      <c r="A33" s="170"/>
      <c r="B33" s="174" t="s">
        <v>220</v>
      </c>
      <c r="C33" s="249">
        <v>22000000</v>
      </c>
      <c r="D33" s="249"/>
      <c r="E33" s="249">
        <v>4000000</v>
      </c>
      <c r="F33" s="250">
        <f t="shared" si="0"/>
        <v>0</v>
      </c>
      <c r="G33" s="250">
        <f t="shared" si="1"/>
        <v>0.18181818181818182</v>
      </c>
    </row>
    <row r="34" spans="1:7" s="243" customFormat="1" ht="24" customHeight="1">
      <c r="A34" s="168">
        <v>15</v>
      </c>
      <c r="B34" s="169" t="s">
        <v>122</v>
      </c>
      <c r="C34" s="247">
        <f>C35</f>
        <v>25000000</v>
      </c>
      <c r="D34" s="247">
        <f>D35</f>
        <v>1000000</v>
      </c>
      <c r="E34" s="247">
        <f>E35</f>
        <v>4000000</v>
      </c>
      <c r="F34" s="248">
        <f t="shared" si="0"/>
        <v>0.04</v>
      </c>
      <c r="G34" s="248">
        <f t="shared" si="1"/>
        <v>0.16</v>
      </c>
    </row>
    <row r="35" spans="1:7" s="167" customFormat="1" ht="24" customHeight="1">
      <c r="A35" s="170"/>
      <c r="B35" s="174" t="s">
        <v>220</v>
      </c>
      <c r="C35" s="249">
        <v>25000000</v>
      </c>
      <c r="D35" s="249">
        <v>1000000</v>
      </c>
      <c r="E35" s="249">
        <v>4000000</v>
      </c>
      <c r="F35" s="250">
        <f t="shared" si="0"/>
        <v>0.04</v>
      </c>
      <c r="G35" s="250">
        <f t="shared" si="1"/>
        <v>0.16</v>
      </c>
    </row>
    <row r="36" spans="1:7" s="243" customFormat="1" ht="24" customHeight="1">
      <c r="A36" s="168">
        <v>16</v>
      </c>
      <c r="B36" s="169" t="s">
        <v>121</v>
      </c>
      <c r="C36" s="247">
        <f>C37</f>
        <v>20000000</v>
      </c>
      <c r="D36" s="247">
        <f>D37</f>
        <v>11121941</v>
      </c>
      <c r="E36" s="247">
        <f>E37</f>
        <v>12500000</v>
      </c>
      <c r="F36" s="248">
        <f t="shared" si="0"/>
        <v>0.55609705</v>
      </c>
      <c r="G36" s="248">
        <f t="shared" si="1"/>
        <v>0.625</v>
      </c>
    </row>
    <row r="37" spans="1:7" s="167" customFormat="1" ht="24" customHeight="1">
      <c r="A37" s="170"/>
      <c r="B37" s="174" t="s">
        <v>220</v>
      </c>
      <c r="C37" s="249">
        <v>20000000</v>
      </c>
      <c r="D37" s="249">
        <v>11121941</v>
      </c>
      <c r="E37" s="249">
        <v>12500000</v>
      </c>
      <c r="F37" s="250">
        <f>D37/C37</f>
        <v>0.55609705</v>
      </c>
      <c r="G37" s="250">
        <f t="shared" si="1"/>
        <v>0.625</v>
      </c>
    </row>
    <row r="38" spans="1:7" s="243" customFormat="1" ht="24" customHeight="1">
      <c r="A38" s="168">
        <v>17</v>
      </c>
      <c r="B38" s="169" t="s">
        <v>117</v>
      </c>
      <c r="C38" s="247">
        <f>C39</f>
        <v>27000000</v>
      </c>
      <c r="D38" s="247">
        <f>D39</f>
        <v>7050000</v>
      </c>
      <c r="E38" s="247">
        <f>E39</f>
        <v>8550000</v>
      </c>
      <c r="F38" s="248">
        <f t="shared" si="0"/>
        <v>0.2611111111111111</v>
      </c>
      <c r="G38" s="248">
        <f t="shared" si="1"/>
        <v>0.31666666666666665</v>
      </c>
    </row>
    <row r="39" spans="1:7" s="167" customFormat="1" ht="24" customHeight="1">
      <c r="A39" s="177"/>
      <c r="B39" s="174" t="s">
        <v>220</v>
      </c>
      <c r="C39" s="249">
        <v>27000000</v>
      </c>
      <c r="D39" s="251">
        <v>7050000</v>
      </c>
      <c r="E39" s="251">
        <f>+D39+1500000</f>
        <v>8550000</v>
      </c>
      <c r="F39" s="250">
        <f t="shared" si="0"/>
        <v>0.2611111111111111</v>
      </c>
      <c r="G39" s="250">
        <f t="shared" si="1"/>
        <v>0.31666666666666665</v>
      </c>
    </row>
    <row r="40" spans="1:256" s="243" customFormat="1" ht="24" customHeight="1">
      <c r="A40" s="245"/>
      <c r="B40" s="168" t="s">
        <v>221</v>
      </c>
      <c r="C40" s="252">
        <f>C5+C6+C8+C12+C14+C16+C18+C20+C22+C24+C26+C28+C30++C32+C34+C36+C38</f>
        <v>1047000000</v>
      </c>
      <c r="D40" s="252">
        <f>D5+D6+D8+D12+D14+D16+D18+D20+D22+D24+D26+D28+D30++D32+D34+D36+D38</f>
        <v>627988995</v>
      </c>
      <c r="E40" s="252">
        <f>E5+E6+E8+E12+E14+E16+E18+E20+E22+E24+E26+E28+E30++E32+E34+E36+E38</f>
        <v>685029302</v>
      </c>
      <c r="F40" s="248">
        <f>D40/C40</f>
        <v>0.5997984670487106</v>
      </c>
      <c r="G40" s="248">
        <f t="shared" si="1"/>
        <v>0.6542782254059217</v>
      </c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  <c r="FL40" s="246"/>
      <c r="FM40" s="246"/>
      <c r="FN40" s="246"/>
      <c r="FO40" s="246"/>
      <c r="FP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  <c r="GB40" s="246"/>
      <c r="GC40" s="246"/>
      <c r="GD40" s="246"/>
      <c r="GE40" s="246"/>
      <c r="GF40" s="246"/>
      <c r="GG40" s="246"/>
      <c r="GH40" s="246"/>
      <c r="GI40" s="246"/>
      <c r="GJ40" s="246"/>
      <c r="GK40" s="246"/>
      <c r="GL40" s="246"/>
      <c r="GM40" s="246"/>
      <c r="GN40" s="246"/>
      <c r="GO40" s="246"/>
      <c r="GP40" s="246"/>
      <c r="GQ40" s="246"/>
      <c r="GR40" s="246"/>
      <c r="GS40" s="246"/>
      <c r="GT40" s="246"/>
      <c r="GU40" s="246"/>
      <c r="GV40" s="246"/>
      <c r="GW40" s="246"/>
      <c r="GX40" s="246"/>
      <c r="GY40" s="246"/>
      <c r="GZ40" s="246"/>
      <c r="HA40" s="246"/>
      <c r="HB40" s="246"/>
      <c r="HC40" s="246"/>
      <c r="HD40" s="246"/>
      <c r="HE40" s="246"/>
      <c r="HF40" s="246"/>
      <c r="HG40" s="246"/>
      <c r="HH40" s="246"/>
      <c r="HI40" s="246"/>
      <c r="HJ40" s="246"/>
      <c r="HK40" s="246"/>
      <c r="HL40" s="246"/>
      <c r="HM40" s="246"/>
      <c r="HN40" s="246"/>
      <c r="HO40" s="246"/>
      <c r="HP40" s="246"/>
      <c r="HQ40" s="246"/>
      <c r="HR40" s="246"/>
      <c r="HS40" s="246"/>
      <c r="HT40" s="246"/>
      <c r="HU40" s="246"/>
      <c r="HV40" s="246"/>
      <c r="HW40" s="246"/>
      <c r="HX40" s="246"/>
      <c r="HY40" s="246"/>
      <c r="HZ40" s="246"/>
      <c r="IA40" s="246"/>
      <c r="IB40" s="246"/>
      <c r="IC40" s="246"/>
      <c r="ID40" s="246"/>
      <c r="IE40" s="246"/>
      <c r="IF40" s="246"/>
      <c r="IG40" s="246"/>
      <c r="IH40" s="246"/>
      <c r="II40" s="246"/>
      <c r="IJ40" s="246"/>
      <c r="IK40" s="246"/>
      <c r="IL40" s="246"/>
      <c r="IM40" s="246"/>
      <c r="IN40" s="246"/>
      <c r="IO40" s="246"/>
      <c r="IP40" s="246"/>
      <c r="IQ40" s="246"/>
      <c r="IR40" s="246"/>
      <c r="IS40" s="246"/>
      <c r="IT40" s="246"/>
      <c r="IU40" s="246"/>
      <c r="IV40" s="246"/>
    </row>
  </sheetData>
  <sheetProtection/>
  <mergeCells count="3">
    <mergeCell ref="A1:G1"/>
    <mergeCell ref="A2:G2"/>
    <mergeCell ref="A3:F3"/>
  </mergeCells>
  <printOptions/>
  <pageMargins left="0.7086614173228347" right="0.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222"/>
  <sheetViews>
    <sheetView view="pageBreakPreview" zoomScale="60" zoomScalePageLayoutView="0" workbookViewId="0" topLeftCell="A1">
      <selection activeCell="BI6" sqref="BI6"/>
    </sheetView>
  </sheetViews>
  <sheetFormatPr defaultColWidth="8.88671875" defaultRowHeight="16.5"/>
  <cols>
    <col min="1" max="1" width="3.77734375" style="318" customWidth="1"/>
    <col min="2" max="2" width="30.88671875" style="98" customWidth="1"/>
    <col min="3" max="3" width="6.3359375" style="98" customWidth="1"/>
    <col min="4" max="4" width="8.4453125" style="98" customWidth="1"/>
    <col min="5" max="5" width="9.4453125" style="98" bestFit="1" customWidth="1"/>
    <col min="6" max="6" width="8.99609375" style="98" hidden="1" customWidth="1"/>
    <col min="7" max="7" width="4.3359375" style="98" hidden="1" customWidth="1"/>
    <col min="8" max="8" width="8.88671875" style="98" hidden="1" customWidth="1"/>
    <col min="9" max="9" width="11.10546875" style="98" customWidth="1"/>
    <col min="10" max="10" width="9.3359375" style="98" customWidth="1"/>
    <col min="11" max="11" width="8.6640625" style="98" customWidth="1"/>
    <col min="12" max="12" width="7.5546875" style="98" customWidth="1"/>
    <col min="13" max="13" width="7.3359375" style="98" customWidth="1"/>
    <col min="14" max="14" width="5.21484375" style="98" customWidth="1"/>
    <col min="15" max="15" width="10.99609375" style="98" hidden="1" customWidth="1"/>
    <col min="16" max="59" width="0" style="98" hidden="1" customWidth="1"/>
    <col min="60" max="16384" width="8.88671875" style="98" customWidth="1"/>
  </cols>
  <sheetData>
    <row r="1" spans="1:16" ht="15.75">
      <c r="A1" s="407" t="s">
        <v>363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315"/>
      <c r="P1" s="315"/>
    </row>
    <row r="2" spans="1:14" ht="21.75" customHeight="1">
      <c r="A2" s="316" t="s">
        <v>273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4" ht="19.5" customHeight="1">
      <c r="A3" s="317" t="str">
        <f>'Biểu 05'!A2:G2</f>
        <v>(Kèm theo Báo cáo số 155a /BC-UBND ngày 31 /5/2021 của UBND huyện Tủa Chùa)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11:14" ht="15.75" customHeight="1">
      <c r="K4" s="319" t="s">
        <v>274</v>
      </c>
      <c r="L4" s="319"/>
      <c r="M4" s="319"/>
      <c r="N4" s="319"/>
    </row>
    <row r="5" spans="1:14" s="262" customFormat="1" ht="35.25" customHeight="1">
      <c r="A5" s="302" t="s">
        <v>7</v>
      </c>
      <c r="B5" s="302" t="s">
        <v>275</v>
      </c>
      <c r="C5" s="302" t="s">
        <v>276</v>
      </c>
      <c r="D5" s="302" t="s">
        <v>277</v>
      </c>
      <c r="E5" s="302" t="s">
        <v>278</v>
      </c>
      <c r="F5" s="320"/>
      <c r="G5" s="320"/>
      <c r="H5" s="320"/>
      <c r="I5" s="320" t="s">
        <v>279</v>
      </c>
      <c r="J5" s="340" t="s">
        <v>280</v>
      </c>
      <c r="K5" s="320" t="s">
        <v>281</v>
      </c>
      <c r="L5" s="321" t="s">
        <v>282</v>
      </c>
      <c r="M5" s="322"/>
      <c r="N5" s="302" t="s">
        <v>283</v>
      </c>
    </row>
    <row r="6" spans="1:14" s="262" customFormat="1" ht="73.5" customHeight="1">
      <c r="A6" s="302"/>
      <c r="B6" s="302"/>
      <c r="C6" s="302"/>
      <c r="D6" s="302"/>
      <c r="E6" s="302"/>
      <c r="F6" s="323"/>
      <c r="G6" s="323"/>
      <c r="H6" s="323"/>
      <c r="I6" s="323"/>
      <c r="J6" s="340"/>
      <c r="K6" s="324"/>
      <c r="L6" s="263" t="s">
        <v>284</v>
      </c>
      <c r="M6" s="263" t="s">
        <v>285</v>
      </c>
      <c r="N6" s="302"/>
    </row>
    <row r="7" spans="1:14" s="327" customFormat="1" ht="15.75">
      <c r="A7" s="263"/>
      <c r="B7" s="263" t="s">
        <v>286</v>
      </c>
      <c r="C7" s="263">
        <f>C8+C10+C12</f>
        <v>39</v>
      </c>
      <c r="D7" s="263"/>
      <c r="E7" s="263"/>
      <c r="F7" s="263"/>
      <c r="G7" s="263"/>
      <c r="H7" s="263"/>
      <c r="I7" s="263"/>
      <c r="J7" s="325">
        <f>J9+J10+J12</f>
        <v>84975.7</v>
      </c>
      <c r="K7" s="325">
        <f>K9+K10+K12</f>
        <v>78579.35699999999</v>
      </c>
      <c r="L7" s="326"/>
      <c r="M7" s="326"/>
      <c r="N7" s="263"/>
    </row>
    <row r="8" spans="1:15" s="327" customFormat="1" ht="31.5">
      <c r="A8" s="341" t="s">
        <v>12</v>
      </c>
      <c r="B8" s="342" t="s">
        <v>287</v>
      </c>
      <c r="C8" s="263">
        <v>1</v>
      </c>
      <c r="D8" s="342"/>
      <c r="E8" s="342"/>
      <c r="F8" s="342"/>
      <c r="G8" s="342"/>
      <c r="H8" s="342"/>
      <c r="I8" s="342"/>
      <c r="J8" s="325">
        <f>J9</f>
        <v>32330</v>
      </c>
      <c r="K8" s="325">
        <f>K9</f>
        <v>28330.4</v>
      </c>
      <c r="L8" s="326"/>
      <c r="M8" s="326"/>
      <c r="N8" s="343"/>
      <c r="O8" s="328"/>
    </row>
    <row r="9" spans="1:15" s="330" customFormat="1" ht="47.25">
      <c r="A9" s="344">
        <v>1</v>
      </c>
      <c r="B9" s="345" t="s">
        <v>288</v>
      </c>
      <c r="C9" s="346"/>
      <c r="D9" s="347" t="s">
        <v>289</v>
      </c>
      <c r="E9" s="347" t="s">
        <v>290</v>
      </c>
      <c r="F9" s="194"/>
      <c r="G9" s="194"/>
      <c r="H9" s="194"/>
      <c r="I9" s="348" t="s">
        <v>193</v>
      </c>
      <c r="J9" s="349">
        <v>32330</v>
      </c>
      <c r="K9" s="349">
        <v>28330.4</v>
      </c>
      <c r="L9" s="349" t="s">
        <v>291</v>
      </c>
      <c r="M9" s="350"/>
      <c r="N9" s="351"/>
      <c r="O9" s="329"/>
    </row>
    <row r="10" spans="1:15" s="327" customFormat="1" ht="31.5">
      <c r="A10" s="341" t="s">
        <v>15</v>
      </c>
      <c r="B10" s="342" t="s">
        <v>292</v>
      </c>
      <c r="C10" s="263">
        <v>1</v>
      </c>
      <c r="D10" s="342"/>
      <c r="E10" s="342"/>
      <c r="F10" s="342"/>
      <c r="G10" s="342"/>
      <c r="H10" s="342"/>
      <c r="I10" s="342"/>
      <c r="J10" s="325">
        <f>J11</f>
        <v>488</v>
      </c>
      <c r="K10" s="325">
        <f>K11</f>
        <v>487</v>
      </c>
      <c r="L10" s="349"/>
      <c r="M10" s="326"/>
      <c r="N10" s="343"/>
      <c r="O10" s="331"/>
    </row>
    <row r="11" spans="1:15" s="333" customFormat="1" ht="31.5">
      <c r="A11" s="352">
        <v>1</v>
      </c>
      <c r="B11" s="353" t="s">
        <v>293</v>
      </c>
      <c r="C11" s="354"/>
      <c r="D11" s="355" t="s">
        <v>289</v>
      </c>
      <c r="E11" s="355" t="s">
        <v>289</v>
      </c>
      <c r="F11" s="356"/>
      <c r="G11" s="357"/>
      <c r="H11" s="357"/>
      <c r="I11" s="356" t="s">
        <v>113</v>
      </c>
      <c r="J11" s="358">
        <v>488</v>
      </c>
      <c r="K11" s="358">
        <v>487</v>
      </c>
      <c r="L11" s="359"/>
      <c r="M11" s="346" t="s">
        <v>291</v>
      </c>
      <c r="N11" s="359"/>
      <c r="O11" s="332"/>
    </row>
    <row r="12" spans="1:15" s="327" customFormat="1" ht="31.5">
      <c r="A12" s="341" t="s">
        <v>17</v>
      </c>
      <c r="B12" s="342" t="s">
        <v>294</v>
      </c>
      <c r="C12" s="263">
        <v>37</v>
      </c>
      <c r="D12" s="342"/>
      <c r="E12" s="342"/>
      <c r="F12" s="342"/>
      <c r="G12" s="342"/>
      <c r="H12" s="342"/>
      <c r="I12" s="342"/>
      <c r="J12" s="325">
        <f>SUM(J13:J49)</f>
        <v>52157.7</v>
      </c>
      <c r="K12" s="325">
        <f>SUM(K13:K49)</f>
        <v>49761.956999999995</v>
      </c>
      <c r="L12" s="326"/>
      <c r="M12" s="326"/>
      <c r="N12" s="343"/>
      <c r="O12" s="334"/>
    </row>
    <row r="13" spans="1:59" ht="32.25" customHeight="1">
      <c r="A13" s="344">
        <v>1</v>
      </c>
      <c r="B13" s="360" t="s">
        <v>295</v>
      </c>
      <c r="C13" s="361"/>
      <c r="D13" s="347" t="s">
        <v>296</v>
      </c>
      <c r="E13" s="347" t="s">
        <v>297</v>
      </c>
      <c r="F13" s="347" t="s">
        <v>298</v>
      </c>
      <c r="G13" s="347"/>
      <c r="H13" s="347"/>
      <c r="I13" s="362" t="s">
        <v>120</v>
      </c>
      <c r="J13" s="363">
        <f>6600</f>
        <v>6600</v>
      </c>
      <c r="K13" s="364">
        <f>1390+2500+2342+66</f>
        <v>6298</v>
      </c>
      <c r="L13" s="346"/>
      <c r="M13" s="346" t="s">
        <v>291</v>
      </c>
      <c r="N13" s="36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</row>
    <row r="14" spans="1:59" ht="47.25">
      <c r="A14" s="344">
        <v>2</v>
      </c>
      <c r="B14" s="377" t="s">
        <v>299</v>
      </c>
      <c r="C14" s="378"/>
      <c r="D14" s="347" t="s">
        <v>289</v>
      </c>
      <c r="E14" s="347" t="s">
        <v>300</v>
      </c>
      <c r="F14" s="347"/>
      <c r="G14" s="347"/>
      <c r="H14" s="347"/>
      <c r="I14" s="362" t="s">
        <v>119</v>
      </c>
      <c r="J14" s="364">
        <v>3000</v>
      </c>
      <c r="K14" s="364">
        <v>2954.1</v>
      </c>
      <c r="L14" s="346"/>
      <c r="M14" s="346" t="s">
        <v>291</v>
      </c>
      <c r="N14" s="365"/>
      <c r="O14" s="379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</row>
    <row r="15" spans="1:59" ht="31.5">
      <c r="A15" s="344">
        <v>3</v>
      </c>
      <c r="B15" s="377" t="s">
        <v>301</v>
      </c>
      <c r="C15" s="378"/>
      <c r="D15" s="347">
        <v>2017</v>
      </c>
      <c r="E15" s="347" t="s">
        <v>300</v>
      </c>
      <c r="F15" s="347" t="s">
        <v>302</v>
      </c>
      <c r="G15" s="347">
        <f>606</f>
        <v>606</v>
      </c>
      <c r="H15" s="347"/>
      <c r="I15" s="362" t="s">
        <v>119</v>
      </c>
      <c r="J15" s="364">
        <v>606</v>
      </c>
      <c r="K15" s="364">
        <v>551.5</v>
      </c>
      <c r="L15" s="346"/>
      <c r="M15" s="346" t="s">
        <v>291</v>
      </c>
      <c r="N15" s="365"/>
      <c r="O15" s="379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</row>
    <row r="16" spans="1:59" ht="30.75" customHeight="1">
      <c r="A16" s="344">
        <v>4</v>
      </c>
      <c r="B16" s="360" t="s">
        <v>303</v>
      </c>
      <c r="C16" s="361"/>
      <c r="D16" s="347">
        <v>2018</v>
      </c>
      <c r="E16" s="347" t="s">
        <v>300</v>
      </c>
      <c r="F16" s="347"/>
      <c r="G16" s="347"/>
      <c r="H16" s="347"/>
      <c r="I16" s="362" t="s">
        <v>119</v>
      </c>
      <c r="J16" s="364">
        <v>2000</v>
      </c>
      <c r="K16" s="364">
        <v>1726.3</v>
      </c>
      <c r="L16" s="346"/>
      <c r="M16" s="346" t="s">
        <v>291</v>
      </c>
      <c r="N16" s="36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</row>
    <row r="17" spans="1:59" ht="32.25" customHeight="1">
      <c r="A17" s="344">
        <v>5</v>
      </c>
      <c r="B17" s="360" t="s">
        <v>304</v>
      </c>
      <c r="C17" s="361"/>
      <c r="D17" s="347">
        <v>2018</v>
      </c>
      <c r="E17" s="347" t="s">
        <v>300</v>
      </c>
      <c r="F17" s="347"/>
      <c r="G17" s="347">
        <f>600</f>
        <v>600</v>
      </c>
      <c r="H17" s="347"/>
      <c r="I17" s="362" t="s">
        <v>119</v>
      </c>
      <c r="J17" s="364">
        <v>600</v>
      </c>
      <c r="K17" s="364">
        <v>557.4</v>
      </c>
      <c r="L17" s="346"/>
      <c r="M17" s="346" t="s">
        <v>291</v>
      </c>
      <c r="N17" s="365"/>
      <c r="O17" s="336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</row>
    <row r="18" spans="1:59" ht="32.25" customHeight="1">
      <c r="A18" s="344">
        <v>6</v>
      </c>
      <c r="B18" s="372" t="s">
        <v>305</v>
      </c>
      <c r="C18" s="367"/>
      <c r="D18" s="347">
        <v>2018</v>
      </c>
      <c r="E18" s="347" t="s">
        <v>306</v>
      </c>
      <c r="F18" s="367" t="s">
        <v>307</v>
      </c>
      <c r="G18" s="381">
        <v>594</v>
      </c>
      <c r="H18" s="371"/>
      <c r="I18" s="367" t="s">
        <v>119</v>
      </c>
      <c r="J18" s="364">
        <v>600</v>
      </c>
      <c r="K18" s="364">
        <v>592</v>
      </c>
      <c r="L18" s="370" t="s">
        <v>291</v>
      </c>
      <c r="M18" s="370"/>
      <c r="N18" s="371"/>
      <c r="O18" s="336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</row>
    <row r="19" spans="1:59" ht="32.25" customHeight="1">
      <c r="A19" s="344">
        <v>7</v>
      </c>
      <c r="B19" s="360" t="s">
        <v>308</v>
      </c>
      <c r="C19" s="361"/>
      <c r="D19" s="347">
        <v>2018</v>
      </c>
      <c r="E19" s="347" t="s">
        <v>306</v>
      </c>
      <c r="F19" s="347"/>
      <c r="G19" s="347">
        <f>2000</f>
        <v>2000</v>
      </c>
      <c r="H19" s="347"/>
      <c r="I19" s="362" t="s">
        <v>116</v>
      </c>
      <c r="J19" s="364">
        <v>2000</v>
      </c>
      <c r="K19" s="364">
        <v>1755.6</v>
      </c>
      <c r="L19" s="346" t="s">
        <v>291</v>
      </c>
      <c r="M19" s="346"/>
      <c r="N19" s="365"/>
      <c r="O19" s="336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</row>
    <row r="20" spans="1:20" ht="47.25">
      <c r="A20" s="344">
        <v>8</v>
      </c>
      <c r="B20" s="366" t="s">
        <v>309</v>
      </c>
      <c r="C20" s="367"/>
      <c r="D20" s="347">
        <v>2018</v>
      </c>
      <c r="E20" s="347" t="s">
        <v>306</v>
      </c>
      <c r="F20" s="367" t="s">
        <v>310</v>
      </c>
      <c r="G20" s="368">
        <v>1017</v>
      </c>
      <c r="H20" s="369"/>
      <c r="I20" s="367" t="s">
        <v>115</v>
      </c>
      <c r="J20" s="364">
        <v>1026</v>
      </c>
      <c r="K20" s="364">
        <f>500+494.296</f>
        <v>994.296</v>
      </c>
      <c r="L20" s="370" t="s">
        <v>291</v>
      </c>
      <c r="M20" s="371"/>
      <c r="N20" s="371"/>
      <c r="O20" s="338"/>
      <c r="P20" s="338"/>
      <c r="Q20" s="338"/>
      <c r="R20" s="338"/>
      <c r="S20" s="338"/>
      <c r="T20" s="338"/>
    </row>
    <row r="21" spans="1:20" ht="47.25">
      <c r="A21" s="344">
        <v>9</v>
      </c>
      <c r="B21" s="366" t="s">
        <v>311</v>
      </c>
      <c r="C21" s="367"/>
      <c r="D21" s="347">
        <v>2018</v>
      </c>
      <c r="E21" s="347" t="s">
        <v>306</v>
      </c>
      <c r="F21" s="367" t="s">
        <v>310</v>
      </c>
      <c r="G21" s="368">
        <v>702</v>
      </c>
      <c r="H21" s="369"/>
      <c r="I21" s="367" t="s">
        <v>116</v>
      </c>
      <c r="J21" s="364">
        <v>709</v>
      </c>
      <c r="K21" s="364">
        <f>350+304.977</f>
        <v>654.977</v>
      </c>
      <c r="L21" s="370" t="s">
        <v>291</v>
      </c>
      <c r="M21" s="371"/>
      <c r="N21" s="371"/>
      <c r="O21" s="338"/>
      <c r="P21" s="338"/>
      <c r="Q21" s="338"/>
      <c r="R21" s="338"/>
      <c r="S21" s="338"/>
      <c r="T21" s="338"/>
    </row>
    <row r="22" spans="1:20" ht="31.5">
      <c r="A22" s="344">
        <v>10</v>
      </c>
      <c r="B22" s="366" t="s">
        <v>312</v>
      </c>
      <c r="C22" s="367"/>
      <c r="D22" s="347">
        <v>2018</v>
      </c>
      <c r="E22" s="347" t="s">
        <v>306</v>
      </c>
      <c r="F22" s="367" t="s">
        <v>310</v>
      </c>
      <c r="G22" s="368">
        <v>2354</v>
      </c>
      <c r="H22" s="369"/>
      <c r="I22" s="367" t="s">
        <v>117</v>
      </c>
      <c r="J22" s="364">
        <v>2377</v>
      </c>
      <c r="K22" s="364">
        <f>1300+929.349</f>
        <v>2229.349</v>
      </c>
      <c r="L22" s="370" t="s">
        <v>291</v>
      </c>
      <c r="M22" s="371"/>
      <c r="N22" s="371"/>
      <c r="O22" s="338"/>
      <c r="P22" s="338"/>
      <c r="Q22" s="338"/>
      <c r="R22" s="338"/>
      <c r="S22" s="338"/>
      <c r="T22" s="338"/>
    </row>
    <row r="23" spans="1:20" ht="31.5">
      <c r="A23" s="344">
        <v>11</v>
      </c>
      <c r="B23" s="372" t="s">
        <v>313</v>
      </c>
      <c r="C23" s="367"/>
      <c r="D23" s="347">
        <v>2018</v>
      </c>
      <c r="E23" s="347" t="s">
        <v>306</v>
      </c>
      <c r="F23" s="367" t="s">
        <v>310</v>
      </c>
      <c r="G23" s="368">
        <v>924</v>
      </c>
      <c r="H23" s="369"/>
      <c r="I23" s="367" t="s">
        <v>117</v>
      </c>
      <c r="J23" s="364">
        <v>933</v>
      </c>
      <c r="K23" s="364">
        <f>500+367.223</f>
        <v>867.223</v>
      </c>
      <c r="L23" s="370" t="s">
        <v>291</v>
      </c>
      <c r="M23" s="371"/>
      <c r="N23" s="371"/>
      <c r="O23" s="338"/>
      <c r="P23" s="338"/>
      <c r="Q23" s="338"/>
      <c r="R23" s="338"/>
      <c r="S23" s="338"/>
      <c r="T23" s="338"/>
    </row>
    <row r="24" spans="1:20" ht="47.25">
      <c r="A24" s="344">
        <v>12</v>
      </c>
      <c r="B24" s="372" t="s">
        <v>314</v>
      </c>
      <c r="C24" s="367"/>
      <c r="D24" s="347">
        <v>2018</v>
      </c>
      <c r="E24" s="347" t="s">
        <v>306</v>
      </c>
      <c r="F24" s="367" t="s">
        <v>310</v>
      </c>
      <c r="G24" s="368">
        <v>781</v>
      </c>
      <c r="H24" s="369"/>
      <c r="I24" s="367" t="s">
        <v>119</v>
      </c>
      <c r="J24" s="374">
        <v>788</v>
      </c>
      <c r="K24" s="382">
        <f>400+349.356</f>
        <v>749.356</v>
      </c>
      <c r="L24" s="370" t="s">
        <v>291</v>
      </c>
      <c r="M24" s="371"/>
      <c r="N24" s="371"/>
      <c r="O24" s="338"/>
      <c r="P24" s="338"/>
      <c r="Q24" s="338"/>
      <c r="R24" s="338"/>
      <c r="S24" s="338"/>
      <c r="T24" s="338"/>
    </row>
    <row r="25" spans="1:20" ht="31.5">
      <c r="A25" s="344">
        <v>13</v>
      </c>
      <c r="B25" s="372" t="s">
        <v>315</v>
      </c>
      <c r="C25" s="367"/>
      <c r="D25" s="347">
        <v>2018</v>
      </c>
      <c r="E25" s="347" t="s">
        <v>306</v>
      </c>
      <c r="F25" s="367" t="s">
        <v>310</v>
      </c>
      <c r="G25" s="368">
        <v>554</v>
      </c>
      <c r="H25" s="369"/>
      <c r="I25" s="367" t="s">
        <v>119</v>
      </c>
      <c r="J25" s="374">
        <v>559</v>
      </c>
      <c r="K25" s="382">
        <f>300+207.856</f>
        <v>507.856</v>
      </c>
      <c r="L25" s="370" t="s">
        <v>291</v>
      </c>
      <c r="M25" s="371"/>
      <c r="N25" s="371"/>
      <c r="O25" s="338"/>
      <c r="P25" s="338"/>
      <c r="Q25" s="338"/>
      <c r="R25" s="338"/>
      <c r="S25" s="338"/>
      <c r="T25" s="338"/>
    </row>
    <row r="26" spans="1:21" ht="31.5">
      <c r="A26" s="344">
        <v>14</v>
      </c>
      <c r="B26" s="372" t="s">
        <v>316</v>
      </c>
      <c r="C26" s="367"/>
      <c r="D26" s="347">
        <v>2018</v>
      </c>
      <c r="E26" s="347" t="s">
        <v>306</v>
      </c>
      <c r="F26" s="367" t="s">
        <v>317</v>
      </c>
      <c r="G26" s="373">
        <v>594</v>
      </c>
      <c r="H26" s="371"/>
      <c r="I26" s="367" t="s">
        <v>114</v>
      </c>
      <c r="J26" s="374">
        <v>600</v>
      </c>
      <c r="K26" s="375">
        <v>546.1</v>
      </c>
      <c r="L26" s="370" t="s">
        <v>291</v>
      </c>
      <c r="M26" s="371"/>
      <c r="N26" s="371"/>
      <c r="O26" s="339"/>
      <c r="P26" s="339"/>
      <c r="Q26" s="339"/>
      <c r="R26" s="339"/>
      <c r="S26" s="339"/>
      <c r="T26" s="339"/>
      <c r="U26" s="339"/>
    </row>
    <row r="27" spans="1:21" ht="31.5">
      <c r="A27" s="344">
        <v>15</v>
      </c>
      <c r="B27" s="372" t="s">
        <v>318</v>
      </c>
      <c r="C27" s="367"/>
      <c r="D27" s="347">
        <v>2018</v>
      </c>
      <c r="E27" s="347" t="s">
        <v>306</v>
      </c>
      <c r="F27" s="367" t="s">
        <v>319</v>
      </c>
      <c r="G27" s="373">
        <v>594</v>
      </c>
      <c r="H27" s="371"/>
      <c r="I27" s="367" t="s">
        <v>114</v>
      </c>
      <c r="J27" s="374">
        <v>600</v>
      </c>
      <c r="K27" s="375">
        <v>598.6</v>
      </c>
      <c r="L27" s="370" t="s">
        <v>291</v>
      </c>
      <c r="M27" s="371"/>
      <c r="N27" s="371"/>
      <c r="O27" s="339"/>
      <c r="P27" s="339"/>
      <c r="Q27" s="339"/>
      <c r="R27" s="339"/>
      <c r="S27" s="339"/>
      <c r="T27" s="339"/>
      <c r="U27" s="339"/>
    </row>
    <row r="28" spans="1:21" ht="37.5" customHeight="1">
      <c r="A28" s="344">
        <v>16</v>
      </c>
      <c r="B28" s="372" t="s">
        <v>320</v>
      </c>
      <c r="C28" s="367"/>
      <c r="D28" s="347">
        <v>2018</v>
      </c>
      <c r="E28" s="347" t="s">
        <v>306</v>
      </c>
      <c r="F28" s="367" t="s">
        <v>319</v>
      </c>
      <c r="G28" s="373">
        <v>594</v>
      </c>
      <c r="H28" s="371"/>
      <c r="I28" s="367" t="s">
        <v>114</v>
      </c>
      <c r="J28" s="374">
        <v>600</v>
      </c>
      <c r="K28" s="375">
        <v>574.1</v>
      </c>
      <c r="L28" s="370" t="s">
        <v>291</v>
      </c>
      <c r="M28" s="371"/>
      <c r="N28" s="371"/>
      <c r="O28" s="339"/>
      <c r="P28" s="339"/>
      <c r="Q28" s="339"/>
      <c r="R28" s="339"/>
      <c r="S28" s="339"/>
      <c r="T28" s="339"/>
      <c r="U28" s="339"/>
    </row>
    <row r="29" spans="1:21" ht="39.75" customHeight="1">
      <c r="A29" s="344">
        <v>17</v>
      </c>
      <c r="B29" s="376" t="s">
        <v>321</v>
      </c>
      <c r="C29" s="367"/>
      <c r="D29" s="347">
        <v>2018</v>
      </c>
      <c r="E29" s="347" t="s">
        <v>306</v>
      </c>
      <c r="F29" s="367" t="s">
        <v>322</v>
      </c>
      <c r="G29" s="373">
        <v>490</v>
      </c>
      <c r="H29" s="371"/>
      <c r="I29" s="367" t="s">
        <v>114</v>
      </c>
      <c r="J29" s="374">
        <v>500</v>
      </c>
      <c r="K29" s="375">
        <v>431.6</v>
      </c>
      <c r="L29" s="370" t="s">
        <v>291</v>
      </c>
      <c r="M29" s="371"/>
      <c r="N29" s="371"/>
      <c r="O29" s="339"/>
      <c r="P29" s="339"/>
      <c r="Q29" s="339"/>
      <c r="R29" s="339"/>
      <c r="S29" s="339"/>
      <c r="T29" s="339"/>
      <c r="U29" s="339"/>
    </row>
    <row r="30" spans="1:21" ht="41.25" customHeight="1">
      <c r="A30" s="344">
        <v>18</v>
      </c>
      <c r="B30" s="372" t="s">
        <v>323</v>
      </c>
      <c r="C30" s="367"/>
      <c r="D30" s="347">
        <v>2018</v>
      </c>
      <c r="E30" s="347" t="s">
        <v>306</v>
      </c>
      <c r="F30" s="367" t="s">
        <v>322</v>
      </c>
      <c r="G30" s="373">
        <v>462</v>
      </c>
      <c r="H30" s="371"/>
      <c r="I30" s="367" t="s">
        <v>114</v>
      </c>
      <c r="J30" s="374">
        <v>470</v>
      </c>
      <c r="K30" s="375">
        <v>396.4</v>
      </c>
      <c r="L30" s="370" t="s">
        <v>291</v>
      </c>
      <c r="M30" s="371"/>
      <c r="N30" s="371"/>
      <c r="O30" s="339"/>
      <c r="P30" s="339"/>
      <c r="Q30" s="339"/>
      <c r="R30" s="339"/>
      <c r="S30" s="339"/>
      <c r="T30" s="339"/>
      <c r="U30" s="339"/>
    </row>
    <row r="31" spans="1:21" ht="43.5" customHeight="1">
      <c r="A31" s="344">
        <v>19</v>
      </c>
      <c r="B31" s="376" t="s">
        <v>324</v>
      </c>
      <c r="C31" s="367"/>
      <c r="D31" s="347">
        <v>2018</v>
      </c>
      <c r="E31" s="347" t="s">
        <v>306</v>
      </c>
      <c r="F31" s="367" t="s">
        <v>322</v>
      </c>
      <c r="G31" s="373">
        <v>2341</v>
      </c>
      <c r="H31" s="371"/>
      <c r="I31" s="367" t="s">
        <v>115</v>
      </c>
      <c r="J31" s="374">
        <v>2364</v>
      </c>
      <c r="K31" s="375">
        <v>2318.8</v>
      </c>
      <c r="L31" s="370" t="s">
        <v>291</v>
      </c>
      <c r="M31" s="371"/>
      <c r="N31" s="371"/>
      <c r="O31" s="339"/>
      <c r="P31" s="339"/>
      <c r="Q31" s="339"/>
      <c r="R31" s="339"/>
      <c r="S31" s="339"/>
      <c r="T31" s="339"/>
      <c r="U31" s="339"/>
    </row>
    <row r="32" spans="1:21" ht="38.25" customHeight="1">
      <c r="A32" s="344">
        <v>20</v>
      </c>
      <c r="B32" s="372" t="s">
        <v>325</v>
      </c>
      <c r="C32" s="367"/>
      <c r="D32" s="347">
        <v>2018</v>
      </c>
      <c r="E32" s="347" t="s">
        <v>306</v>
      </c>
      <c r="F32" s="367" t="s">
        <v>326</v>
      </c>
      <c r="G32" s="373">
        <v>594</v>
      </c>
      <c r="H32" s="371"/>
      <c r="I32" s="367" t="s">
        <v>115</v>
      </c>
      <c r="J32" s="374">
        <v>600</v>
      </c>
      <c r="K32" s="375">
        <v>582.9</v>
      </c>
      <c r="L32" s="370" t="s">
        <v>291</v>
      </c>
      <c r="M32" s="371"/>
      <c r="N32" s="371"/>
      <c r="O32" s="339"/>
      <c r="P32" s="339"/>
      <c r="Q32" s="339"/>
      <c r="R32" s="339"/>
      <c r="S32" s="339"/>
      <c r="T32" s="339"/>
      <c r="U32" s="339"/>
    </row>
    <row r="33" spans="1:21" ht="31.5">
      <c r="A33" s="344">
        <v>21</v>
      </c>
      <c r="B33" s="372" t="s">
        <v>327</v>
      </c>
      <c r="C33" s="367"/>
      <c r="D33" s="347">
        <v>2018</v>
      </c>
      <c r="E33" s="347" t="s">
        <v>306</v>
      </c>
      <c r="F33" s="367" t="s">
        <v>326</v>
      </c>
      <c r="G33" s="373">
        <v>594</v>
      </c>
      <c r="H33" s="371"/>
      <c r="I33" s="367" t="s">
        <v>115</v>
      </c>
      <c r="J33" s="374">
        <v>600</v>
      </c>
      <c r="K33" s="375">
        <v>583.9</v>
      </c>
      <c r="L33" s="370" t="s">
        <v>291</v>
      </c>
      <c r="M33" s="371"/>
      <c r="N33" s="371"/>
      <c r="O33" s="339"/>
      <c r="P33" s="339"/>
      <c r="Q33" s="339"/>
      <c r="R33" s="339"/>
      <c r="S33" s="339"/>
      <c r="T33" s="339"/>
      <c r="U33" s="339"/>
    </row>
    <row r="34" spans="1:21" ht="47.25">
      <c r="A34" s="344">
        <v>22</v>
      </c>
      <c r="B34" s="376" t="s">
        <v>328</v>
      </c>
      <c r="C34" s="367"/>
      <c r="D34" s="347">
        <v>2018</v>
      </c>
      <c r="E34" s="347" t="s">
        <v>306</v>
      </c>
      <c r="F34" s="367" t="s">
        <v>310</v>
      </c>
      <c r="G34" s="373">
        <v>594</v>
      </c>
      <c r="H34" s="371"/>
      <c r="I34" s="367" t="s">
        <v>116</v>
      </c>
      <c r="J34" s="374">
        <v>600</v>
      </c>
      <c r="K34" s="375">
        <v>566.7</v>
      </c>
      <c r="L34" s="370" t="s">
        <v>291</v>
      </c>
      <c r="M34" s="371"/>
      <c r="N34" s="371"/>
      <c r="O34" s="339"/>
      <c r="P34" s="339"/>
      <c r="Q34" s="339"/>
      <c r="R34" s="339"/>
      <c r="S34" s="339"/>
      <c r="T34" s="339"/>
      <c r="U34" s="339"/>
    </row>
    <row r="35" spans="1:21" ht="31.5">
      <c r="A35" s="344">
        <v>23</v>
      </c>
      <c r="B35" s="372" t="s">
        <v>329</v>
      </c>
      <c r="C35" s="367"/>
      <c r="D35" s="347">
        <v>2018</v>
      </c>
      <c r="E35" s="347" t="s">
        <v>306</v>
      </c>
      <c r="F35" s="367" t="s">
        <v>330</v>
      </c>
      <c r="G35" s="373">
        <v>594</v>
      </c>
      <c r="H35" s="371"/>
      <c r="I35" s="367" t="s">
        <v>116</v>
      </c>
      <c r="J35" s="374">
        <v>600</v>
      </c>
      <c r="K35" s="375">
        <v>560.4</v>
      </c>
      <c r="L35" s="370" t="s">
        <v>291</v>
      </c>
      <c r="M35" s="371"/>
      <c r="N35" s="371"/>
      <c r="O35" s="339"/>
      <c r="P35" s="339"/>
      <c r="Q35" s="339"/>
      <c r="R35" s="339"/>
      <c r="S35" s="339"/>
      <c r="T35" s="339"/>
      <c r="U35" s="339"/>
    </row>
    <row r="36" spans="1:21" ht="31.5">
      <c r="A36" s="344">
        <v>24</v>
      </c>
      <c r="B36" s="372" t="s">
        <v>331</v>
      </c>
      <c r="C36" s="367"/>
      <c r="D36" s="347">
        <v>2018</v>
      </c>
      <c r="E36" s="347" t="s">
        <v>306</v>
      </c>
      <c r="F36" s="367" t="s">
        <v>330</v>
      </c>
      <c r="G36" s="373">
        <v>594</v>
      </c>
      <c r="H36" s="371"/>
      <c r="I36" s="367" t="s">
        <v>116</v>
      </c>
      <c r="J36" s="374">
        <v>600</v>
      </c>
      <c r="K36" s="375">
        <v>560.3</v>
      </c>
      <c r="L36" s="370" t="s">
        <v>291</v>
      </c>
      <c r="M36" s="371"/>
      <c r="N36" s="371"/>
      <c r="O36" s="339"/>
      <c r="P36" s="339"/>
      <c r="Q36" s="339"/>
      <c r="R36" s="339"/>
      <c r="S36" s="339"/>
      <c r="T36" s="339"/>
      <c r="U36" s="339"/>
    </row>
    <row r="37" spans="1:21" ht="31.5">
      <c r="A37" s="344">
        <v>25</v>
      </c>
      <c r="B37" s="372" t="s">
        <v>332</v>
      </c>
      <c r="C37" s="367"/>
      <c r="D37" s="347">
        <v>2018</v>
      </c>
      <c r="E37" s="347" t="s">
        <v>306</v>
      </c>
      <c r="F37" s="367" t="s">
        <v>322</v>
      </c>
      <c r="G37" s="373">
        <v>1980</v>
      </c>
      <c r="H37" s="371"/>
      <c r="I37" s="367" t="s">
        <v>116</v>
      </c>
      <c r="J37" s="374">
        <v>2000</v>
      </c>
      <c r="K37" s="375">
        <v>1885.5</v>
      </c>
      <c r="L37" s="370" t="s">
        <v>291</v>
      </c>
      <c r="M37" s="371"/>
      <c r="N37" s="371"/>
      <c r="O37" s="339"/>
      <c r="P37" s="339"/>
      <c r="Q37" s="339"/>
      <c r="R37" s="339"/>
      <c r="S37" s="339"/>
      <c r="T37" s="339"/>
      <c r="U37" s="339"/>
    </row>
    <row r="38" spans="1:21" ht="31.5">
      <c r="A38" s="344">
        <v>26</v>
      </c>
      <c r="B38" s="376" t="s">
        <v>333</v>
      </c>
      <c r="C38" s="367"/>
      <c r="D38" s="347">
        <v>2018</v>
      </c>
      <c r="E38" s="347" t="s">
        <v>306</v>
      </c>
      <c r="F38" s="367" t="s">
        <v>334</v>
      </c>
      <c r="G38" s="373">
        <v>594</v>
      </c>
      <c r="H38" s="371"/>
      <c r="I38" s="367" t="s">
        <v>117</v>
      </c>
      <c r="J38" s="374">
        <v>600</v>
      </c>
      <c r="K38" s="375">
        <v>571.8</v>
      </c>
      <c r="L38" s="370" t="s">
        <v>291</v>
      </c>
      <c r="M38" s="371"/>
      <c r="N38" s="371"/>
      <c r="O38" s="339"/>
      <c r="P38" s="339"/>
      <c r="Q38" s="339"/>
      <c r="R38" s="339"/>
      <c r="S38" s="339"/>
      <c r="T38" s="339"/>
      <c r="U38" s="339"/>
    </row>
    <row r="39" spans="1:21" ht="31.5">
      <c r="A39" s="344">
        <v>27</v>
      </c>
      <c r="B39" s="372" t="s">
        <v>335</v>
      </c>
      <c r="C39" s="367"/>
      <c r="D39" s="347">
        <v>2018</v>
      </c>
      <c r="E39" s="347" t="s">
        <v>306</v>
      </c>
      <c r="F39" s="367" t="s">
        <v>334</v>
      </c>
      <c r="G39" s="373">
        <v>594</v>
      </c>
      <c r="H39" s="371"/>
      <c r="I39" s="367" t="s">
        <v>117</v>
      </c>
      <c r="J39" s="374">
        <v>600</v>
      </c>
      <c r="K39" s="375">
        <v>572</v>
      </c>
      <c r="L39" s="370" t="s">
        <v>291</v>
      </c>
      <c r="M39" s="371"/>
      <c r="N39" s="371"/>
      <c r="O39" s="339"/>
      <c r="P39" s="339"/>
      <c r="Q39" s="339"/>
      <c r="R39" s="339"/>
      <c r="S39" s="339"/>
      <c r="T39" s="339"/>
      <c r="U39" s="339"/>
    </row>
    <row r="40" spans="1:21" ht="44.25" customHeight="1">
      <c r="A40" s="344">
        <v>28</v>
      </c>
      <c r="B40" s="372" t="s">
        <v>336</v>
      </c>
      <c r="C40" s="367"/>
      <c r="D40" s="347">
        <v>2018</v>
      </c>
      <c r="E40" s="347" t="s">
        <v>306</v>
      </c>
      <c r="F40" s="367" t="s">
        <v>310</v>
      </c>
      <c r="G40" s="373">
        <v>1990</v>
      </c>
      <c r="H40" s="371"/>
      <c r="I40" s="367" t="s">
        <v>117</v>
      </c>
      <c r="J40" s="374">
        <v>2000</v>
      </c>
      <c r="K40" s="375">
        <v>1901.9</v>
      </c>
      <c r="L40" s="370" t="s">
        <v>291</v>
      </c>
      <c r="M40" s="371"/>
      <c r="N40" s="371"/>
      <c r="O40" s="339"/>
      <c r="P40" s="339"/>
      <c r="Q40" s="339"/>
      <c r="R40" s="339"/>
      <c r="S40" s="339"/>
      <c r="T40" s="339"/>
      <c r="U40" s="339"/>
    </row>
    <row r="41" spans="1:21" ht="31.5">
      <c r="A41" s="344">
        <v>29</v>
      </c>
      <c r="B41" s="372" t="s">
        <v>337</v>
      </c>
      <c r="C41" s="367"/>
      <c r="D41" s="347">
        <v>2018</v>
      </c>
      <c r="E41" s="347" t="s">
        <v>306</v>
      </c>
      <c r="F41" s="367" t="s">
        <v>310</v>
      </c>
      <c r="G41" s="373">
        <v>990</v>
      </c>
      <c r="H41" s="371"/>
      <c r="I41" s="367" t="s">
        <v>117</v>
      </c>
      <c r="J41" s="374">
        <v>1000</v>
      </c>
      <c r="K41" s="375">
        <v>931.4</v>
      </c>
      <c r="L41" s="370" t="s">
        <v>291</v>
      </c>
      <c r="M41" s="371"/>
      <c r="N41" s="371"/>
      <c r="O41" s="339"/>
      <c r="P41" s="339"/>
      <c r="Q41" s="339"/>
      <c r="R41" s="339"/>
      <c r="S41" s="339"/>
      <c r="T41" s="339"/>
      <c r="U41" s="339"/>
    </row>
    <row r="42" spans="1:21" ht="31.5">
      <c r="A42" s="344">
        <v>30</v>
      </c>
      <c r="B42" s="372" t="s">
        <v>338</v>
      </c>
      <c r="C42" s="367"/>
      <c r="D42" s="347">
        <v>2018</v>
      </c>
      <c r="E42" s="347" t="s">
        <v>306</v>
      </c>
      <c r="F42" s="367" t="s">
        <v>310</v>
      </c>
      <c r="G42" s="373">
        <v>1569</v>
      </c>
      <c r="H42" s="371"/>
      <c r="I42" s="367" t="s">
        <v>118</v>
      </c>
      <c r="J42" s="374">
        <v>1585</v>
      </c>
      <c r="K42" s="375">
        <v>1558.7</v>
      </c>
      <c r="L42" s="370" t="s">
        <v>291</v>
      </c>
      <c r="M42" s="371"/>
      <c r="N42" s="371"/>
      <c r="O42" s="339"/>
      <c r="P42" s="339"/>
      <c r="Q42" s="339"/>
      <c r="R42" s="339"/>
      <c r="S42" s="339"/>
      <c r="T42" s="339"/>
      <c r="U42" s="339"/>
    </row>
    <row r="43" spans="1:21" ht="31.5">
      <c r="A43" s="344">
        <v>31</v>
      </c>
      <c r="B43" s="372" t="s">
        <v>339</v>
      </c>
      <c r="C43" s="367"/>
      <c r="D43" s="347">
        <v>2018</v>
      </c>
      <c r="E43" s="347" t="s">
        <v>306</v>
      </c>
      <c r="F43" s="367" t="s">
        <v>310</v>
      </c>
      <c r="G43" s="373">
        <v>1080</v>
      </c>
      <c r="H43" s="371"/>
      <c r="I43" s="367" t="s">
        <v>119</v>
      </c>
      <c r="J43" s="374">
        <v>1090</v>
      </c>
      <c r="K43" s="375">
        <v>1017.2</v>
      </c>
      <c r="L43" s="370" t="s">
        <v>291</v>
      </c>
      <c r="M43" s="371"/>
      <c r="N43" s="371"/>
      <c r="O43" s="339"/>
      <c r="P43" s="339"/>
      <c r="Q43" s="339"/>
      <c r="R43" s="339"/>
      <c r="S43" s="339"/>
      <c r="T43" s="339"/>
      <c r="U43" s="339"/>
    </row>
    <row r="44" spans="1:21" ht="31.5">
      <c r="A44" s="344">
        <v>32</v>
      </c>
      <c r="B44" s="372" t="s">
        <v>340</v>
      </c>
      <c r="C44" s="367"/>
      <c r="D44" s="347" t="s">
        <v>306</v>
      </c>
      <c r="E44" s="347" t="s">
        <v>290</v>
      </c>
      <c r="F44" s="367">
        <v>1850</v>
      </c>
      <c r="G44" s="373" t="e">
        <f aca="true" t="shared" si="0" ref="G44:G49">+I44+J44+L44+N44+P44</f>
        <v>#VALUE!</v>
      </c>
      <c r="H44" s="371"/>
      <c r="I44" s="367" t="s">
        <v>122</v>
      </c>
      <c r="J44" s="374">
        <v>2000</v>
      </c>
      <c r="K44" s="375">
        <v>1900</v>
      </c>
      <c r="L44" s="370" t="s">
        <v>291</v>
      </c>
      <c r="M44" s="371"/>
      <c r="N44" s="371"/>
      <c r="O44" s="339"/>
      <c r="P44" s="339"/>
      <c r="Q44" s="339"/>
      <c r="R44" s="339"/>
      <c r="S44" s="339"/>
      <c r="T44" s="339"/>
      <c r="U44" s="339"/>
    </row>
    <row r="45" spans="1:21" ht="31.5">
      <c r="A45" s="344">
        <v>33</v>
      </c>
      <c r="B45" s="372" t="s">
        <v>341</v>
      </c>
      <c r="C45" s="367"/>
      <c r="D45" s="347" t="s">
        <v>306</v>
      </c>
      <c r="E45" s="347" t="s">
        <v>290</v>
      </c>
      <c r="F45" s="367">
        <v>1300</v>
      </c>
      <c r="G45" s="373" t="e">
        <f t="shared" si="0"/>
        <v>#VALUE!</v>
      </c>
      <c r="H45" s="371"/>
      <c r="I45" s="367" t="s">
        <v>116</v>
      </c>
      <c r="J45" s="374">
        <v>1400</v>
      </c>
      <c r="K45" s="375">
        <v>1400</v>
      </c>
      <c r="L45" s="370" t="s">
        <v>291</v>
      </c>
      <c r="M45" s="371"/>
      <c r="N45" s="371"/>
      <c r="O45" s="339"/>
      <c r="P45" s="339"/>
      <c r="Q45" s="339"/>
      <c r="R45" s="339"/>
      <c r="S45" s="339"/>
      <c r="T45" s="339"/>
      <c r="U45" s="339"/>
    </row>
    <row r="46" spans="1:21" ht="43.5" customHeight="1">
      <c r="A46" s="344">
        <v>34</v>
      </c>
      <c r="B46" s="372" t="s">
        <v>342</v>
      </c>
      <c r="C46" s="367"/>
      <c r="D46" s="347" t="s">
        <v>306</v>
      </c>
      <c r="E46" s="347" t="s">
        <v>290</v>
      </c>
      <c r="F46" s="367">
        <v>1224</v>
      </c>
      <c r="G46" s="373" t="e">
        <f t="shared" si="0"/>
        <v>#VALUE!</v>
      </c>
      <c r="H46" s="371"/>
      <c r="I46" s="367" t="s">
        <v>119</v>
      </c>
      <c r="J46" s="374">
        <v>1290</v>
      </c>
      <c r="K46" s="375">
        <v>1290</v>
      </c>
      <c r="L46" s="370" t="s">
        <v>291</v>
      </c>
      <c r="M46" s="371"/>
      <c r="N46" s="371"/>
      <c r="O46" s="339"/>
      <c r="P46" s="339"/>
      <c r="Q46" s="339"/>
      <c r="R46" s="339"/>
      <c r="S46" s="339"/>
      <c r="T46" s="339"/>
      <c r="U46" s="339"/>
    </row>
    <row r="47" spans="1:21" ht="31.5">
      <c r="A47" s="344">
        <v>35</v>
      </c>
      <c r="B47" s="372" t="s">
        <v>343</v>
      </c>
      <c r="C47" s="367"/>
      <c r="D47" s="347" t="s">
        <v>306</v>
      </c>
      <c r="E47" s="347" t="s">
        <v>290</v>
      </c>
      <c r="F47" s="367">
        <v>891</v>
      </c>
      <c r="G47" s="373" t="e">
        <f t="shared" si="0"/>
        <v>#VALUE!</v>
      </c>
      <c r="H47" s="371"/>
      <c r="I47" s="367" t="s">
        <v>118</v>
      </c>
      <c r="J47" s="374">
        <v>900</v>
      </c>
      <c r="K47" s="375">
        <v>891</v>
      </c>
      <c r="L47" s="370" t="s">
        <v>291</v>
      </c>
      <c r="M47" s="371"/>
      <c r="N47" s="371"/>
      <c r="O47" s="339"/>
      <c r="P47" s="339"/>
      <c r="Q47" s="339"/>
      <c r="R47" s="339"/>
      <c r="S47" s="339"/>
      <c r="T47" s="339"/>
      <c r="U47" s="339"/>
    </row>
    <row r="48" spans="1:21" ht="31.5">
      <c r="A48" s="344">
        <v>36</v>
      </c>
      <c r="B48" s="372" t="s">
        <v>344</v>
      </c>
      <c r="C48" s="367"/>
      <c r="D48" s="347" t="s">
        <v>306</v>
      </c>
      <c r="E48" s="347" t="s">
        <v>290</v>
      </c>
      <c r="F48" s="367">
        <v>594</v>
      </c>
      <c r="G48" s="373" t="e">
        <f t="shared" si="0"/>
        <v>#VALUE!</v>
      </c>
      <c r="H48" s="371"/>
      <c r="I48" s="367" t="s">
        <v>119</v>
      </c>
      <c r="J48" s="374">
        <v>600</v>
      </c>
      <c r="K48" s="375">
        <v>594</v>
      </c>
      <c r="L48" s="370" t="s">
        <v>291</v>
      </c>
      <c r="M48" s="371"/>
      <c r="N48" s="371"/>
      <c r="O48" s="339"/>
      <c r="P48" s="339"/>
      <c r="Q48" s="339"/>
      <c r="R48" s="339"/>
      <c r="S48" s="339"/>
      <c r="T48" s="339"/>
      <c r="U48" s="339"/>
    </row>
    <row r="49" spans="1:21" ht="31.5">
      <c r="A49" s="344">
        <v>37</v>
      </c>
      <c r="B49" s="372" t="s">
        <v>345</v>
      </c>
      <c r="C49" s="367"/>
      <c r="D49" s="347" t="s">
        <v>306</v>
      </c>
      <c r="E49" s="347" t="s">
        <v>290</v>
      </c>
      <c r="F49" s="367">
        <f>5830+1260.7</f>
        <v>7090.7</v>
      </c>
      <c r="G49" s="373" t="e">
        <f t="shared" si="0"/>
        <v>#VALUE!</v>
      </c>
      <c r="H49" s="371"/>
      <c r="I49" s="367" t="s">
        <v>122</v>
      </c>
      <c r="J49" s="374">
        <f>5900+1260.7</f>
        <v>7160.7</v>
      </c>
      <c r="K49" s="375">
        <f>5830+1260.7</f>
        <v>7090.7</v>
      </c>
      <c r="L49" s="370" t="s">
        <v>291</v>
      </c>
      <c r="M49" s="371"/>
      <c r="N49" s="371"/>
      <c r="O49" s="339"/>
      <c r="P49" s="339"/>
      <c r="Q49" s="339"/>
      <c r="R49" s="339"/>
      <c r="S49" s="339"/>
      <c r="T49" s="339"/>
      <c r="U49" s="339"/>
    </row>
    <row r="50" ht="15.75">
      <c r="N50" s="232"/>
    </row>
    <row r="51" ht="15.75">
      <c r="N51" s="232"/>
    </row>
    <row r="52" ht="15.75">
      <c r="N52" s="232"/>
    </row>
    <row r="53" ht="15.75">
      <c r="N53" s="232"/>
    </row>
    <row r="54" ht="15.75">
      <c r="N54" s="232"/>
    </row>
    <row r="55" ht="15.75">
      <c r="N55" s="232"/>
    </row>
    <row r="56" ht="15.75">
      <c r="N56" s="232"/>
    </row>
    <row r="57" ht="15.75">
      <c r="N57" s="232"/>
    </row>
    <row r="58" ht="15.75">
      <c r="N58" s="232"/>
    </row>
    <row r="59" ht="15.75">
      <c r="N59" s="232"/>
    </row>
    <row r="60" ht="15.75">
      <c r="N60" s="232"/>
    </row>
    <row r="61" ht="15.75">
      <c r="N61" s="232"/>
    </row>
    <row r="62" ht="15.75">
      <c r="N62" s="232"/>
    </row>
    <row r="63" ht="15.75">
      <c r="N63" s="232"/>
    </row>
    <row r="64" ht="15.75">
      <c r="N64" s="232"/>
    </row>
    <row r="65" ht="15.75">
      <c r="N65" s="232"/>
    </row>
    <row r="66" ht="15.75">
      <c r="N66" s="232"/>
    </row>
    <row r="67" ht="15.75">
      <c r="N67" s="232"/>
    </row>
    <row r="68" ht="15.75">
      <c r="N68" s="232"/>
    </row>
    <row r="69" ht="15.75">
      <c r="N69" s="232"/>
    </row>
    <row r="70" ht="15.75">
      <c r="N70" s="232"/>
    </row>
    <row r="71" ht="15.75">
      <c r="N71" s="232"/>
    </row>
    <row r="72" ht="15.75">
      <c r="N72" s="232"/>
    </row>
    <row r="73" ht="15.75">
      <c r="N73" s="232"/>
    </row>
    <row r="74" ht="15.75">
      <c r="N74" s="232"/>
    </row>
    <row r="75" ht="15.75">
      <c r="N75" s="232"/>
    </row>
    <row r="76" ht="15.75">
      <c r="N76" s="232"/>
    </row>
    <row r="77" ht="15.75">
      <c r="N77" s="232"/>
    </row>
    <row r="78" ht="15.75">
      <c r="N78" s="232"/>
    </row>
    <row r="79" ht="15.75">
      <c r="N79" s="232"/>
    </row>
    <row r="80" ht="15.75">
      <c r="N80" s="232"/>
    </row>
    <row r="81" ht="15.75">
      <c r="N81" s="232"/>
    </row>
    <row r="82" ht="15.75">
      <c r="N82" s="232"/>
    </row>
    <row r="83" ht="15.75">
      <c r="N83" s="232"/>
    </row>
    <row r="84" ht="15.75">
      <c r="N84" s="232"/>
    </row>
    <row r="85" ht="15.75">
      <c r="N85" s="232"/>
    </row>
    <row r="86" ht="15.75">
      <c r="N86" s="232"/>
    </row>
    <row r="87" ht="15.75">
      <c r="N87" s="232"/>
    </row>
    <row r="88" ht="15.75">
      <c r="N88" s="232"/>
    </row>
    <row r="89" ht="15.75">
      <c r="N89" s="232"/>
    </row>
    <row r="90" ht="15.75">
      <c r="N90" s="232"/>
    </row>
    <row r="91" ht="15.75">
      <c r="N91" s="232"/>
    </row>
    <row r="92" ht="15.75">
      <c r="N92" s="232"/>
    </row>
    <row r="93" ht="15.75">
      <c r="N93" s="232"/>
    </row>
    <row r="94" ht="15.75">
      <c r="N94" s="232"/>
    </row>
    <row r="95" ht="15.75">
      <c r="N95" s="232"/>
    </row>
    <row r="96" ht="15.75">
      <c r="N96" s="232"/>
    </row>
    <row r="97" ht="15.75">
      <c r="N97" s="232"/>
    </row>
    <row r="98" ht="15.75">
      <c r="N98" s="232"/>
    </row>
    <row r="99" ht="15.75">
      <c r="N99" s="232"/>
    </row>
    <row r="100" ht="15.75">
      <c r="N100" s="232"/>
    </row>
    <row r="101" ht="15.75">
      <c r="N101" s="232"/>
    </row>
    <row r="102" ht="15.75">
      <c r="N102" s="232"/>
    </row>
    <row r="103" ht="15.75">
      <c r="N103" s="232"/>
    </row>
    <row r="104" ht="15.75">
      <c r="N104" s="232"/>
    </row>
    <row r="105" ht="15.75">
      <c r="N105" s="232"/>
    </row>
    <row r="106" ht="15.75">
      <c r="N106" s="232"/>
    </row>
    <row r="107" ht="15.75">
      <c r="N107" s="232"/>
    </row>
    <row r="108" ht="15.75">
      <c r="N108" s="232"/>
    </row>
    <row r="109" ht="15.75">
      <c r="N109" s="232"/>
    </row>
    <row r="110" ht="15.75">
      <c r="N110" s="232"/>
    </row>
    <row r="111" ht="15.75">
      <c r="N111" s="232"/>
    </row>
    <row r="112" ht="15.75">
      <c r="N112" s="232"/>
    </row>
    <row r="113" ht="15.75">
      <c r="N113" s="232"/>
    </row>
    <row r="114" ht="15.75">
      <c r="N114" s="232"/>
    </row>
    <row r="115" ht="15.75">
      <c r="N115" s="232"/>
    </row>
    <row r="116" ht="15.75">
      <c r="N116" s="232"/>
    </row>
    <row r="117" ht="15.75">
      <c r="N117" s="232"/>
    </row>
    <row r="118" ht="15.75">
      <c r="N118" s="232"/>
    </row>
    <row r="119" ht="15.75">
      <c r="N119" s="232"/>
    </row>
    <row r="120" ht="15.75">
      <c r="N120" s="232"/>
    </row>
    <row r="121" ht="15.75">
      <c r="N121" s="232"/>
    </row>
    <row r="122" ht="15.75">
      <c r="N122" s="232"/>
    </row>
    <row r="123" ht="15.75">
      <c r="N123" s="232"/>
    </row>
    <row r="124" ht="15.75">
      <c r="N124" s="232"/>
    </row>
    <row r="125" ht="15.75">
      <c r="N125" s="232"/>
    </row>
    <row r="126" ht="15.75">
      <c r="N126" s="232"/>
    </row>
    <row r="127" ht="15.75">
      <c r="N127" s="232"/>
    </row>
    <row r="128" ht="15.75">
      <c r="N128" s="232"/>
    </row>
    <row r="129" ht="15.75">
      <c r="N129" s="232"/>
    </row>
    <row r="130" ht="15.75">
      <c r="N130" s="232"/>
    </row>
    <row r="131" ht="15.75">
      <c r="N131" s="232"/>
    </row>
    <row r="132" ht="15.75">
      <c r="N132" s="232"/>
    </row>
    <row r="133" ht="15.75">
      <c r="N133" s="232"/>
    </row>
    <row r="134" ht="15.75">
      <c r="N134" s="232"/>
    </row>
    <row r="135" ht="15.75">
      <c r="N135" s="232"/>
    </row>
    <row r="136" ht="15.75">
      <c r="N136" s="232"/>
    </row>
    <row r="137" ht="15.75">
      <c r="N137" s="232"/>
    </row>
    <row r="138" ht="15.75">
      <c r="N138" s="232"/>
    </row>
    <row r="139" ht="15.75">
      <c r="N139" s="232"/>
    </row>
    <row r="140" ht="15.75">
      <c r="N140" s="232"/>
    </row>
    <row r="141" ht="15.75">
      <c r="N141" s="232"/>
    </row>
    <row r="142" ht="15.75">
      <c r="N142" s="232"/>
    </row>
    <row r="143" ht="15.75">
      <c r="N143" s="232"/>
    </row>
    <row r="144" ht="15.75">
      <c r="N144" s="232"/>
    </row>
    <row r="145" ht="15.75">
      <c r="N145" s="232"/>
    </row>
    <row r="146" ht="15.75">
      <c r="N146" s="232"/>
    </row>
    <row r="147" ht="15.75">
      <c r="N147" s="232"/>
    </row>
    <row r="148" ht="15.75">
      <c r="N148" s="232"/>
    </row>
    <row r="149" ht="15.75">
      <c r="N149" s="232"/>
    </row>
    <row r="150" ht="15.75">
      <c r="N150" s="232"/>
    </row>
    <row r="151" ht="15.75">
      <c r="N151" s="232"/>
    </row>
    <row r="152" ht="15.75">
      <c r="N152" s="232"/>
    </row>
    <row r="153" ht="15.75">
      <c r="N153" s="232"/>
    </row>
    <row r="154" ht="15.75">
      <c r="N154" s="232"/>
    </row>
    <row r="155" ht="15.75">
      <c r="N155" s="232"/>
    </row>
    <row r="156" ht="15.75">
      <c r="N156" s="232"/>
    </row>
    <row r="157" ht="15.75">
      <c r="N157" s="232"/>
    </row>
    <row r="158" ht="15.75">
      <c r="N158" s="232"/>
    </row>
    <row r="159" ht="15.75">
      <c r="N159" s="232"/>
    </row>
    <row r="160" ht="15.75">
      <c r="N160" s="232"/>
    </row>
    <row r="161" ht="15.75">
      <c r="N161" s="232"/>
    </row>
    <row r="162" ht="15.75">
      <c r="N162" s="232"/>
    </row>
    <row r="163" ht="15.75">
      <c r="N163" s="232"/>
    </row>
    <row r="164" ht="15.75">
      <c r="N164" s="232"/>
    </row>
    <row r="165" ht="15.75">
      <c r="N165" s="232"/>
    </row>
    <row r="166" ht="15.75">
      <c r="N166" s="232"/>
    </row>
    <row r="167" ht="15.75">
      <c r="N167" s="232"/>
    </row>
    <row r="168" ht="15.75">
      <c r="N168" s="232"/>
    </row>
    <row r="169" ht="15.75">
      <c r="N169" s="232"/>
    </row>
    <row r="170" ht="15.75">
      <c r="N170" s="232"/>
    </row>
    <row r="171" ht="15.75">
      <c r="N171" s="232"/>
    </row>
    <row r="172" ht="15.75">
      <c r="N172" s="232"/>
    </row>
    <row r="173" ht="15.75">
      <c r="N173" s="232"/>
    </row>
    <row r="174" ht="15.75">
      <c r="N174" s="232"/>
    </row>
    <row r="175" ht="15.75">
      <c r="N175" s="232"/>
    </row>
    <row r="176" ht="15.75">
      <c r="N176" s="232"/>
    </row>
    <row r="177" ht="15.75">
      <c r="N177" s="232"/>
    </row>
    <row r="178" ht="15.75">
      <c r="N178" s="232"/>
    </row>
    <row r="179" ht="15.75">
      <c r="N179" s="232"/>
    </row>
    <row r="180" ht="15.75">
      <c r="N180" s="232"/>
    </row>
    <row r="181" ht="15.75">
      <c r="N181" s="232"/>
    </row>
    <row r="182" ht="15.75">
      <c r="N182" s="232"/>
    </row>
    <row r="183" ht="15.75">
      <c r="N183" s="232"/>
    </row>
    <row r="184" ht="15.75">
      <c r="N184" s="232"/>
    </row>
    <row r="185" ht="15.75">
      <c r="N185" s="232"/>
    </row>
    <row r="186" ht="15.75">
      <c r="N186" s="232"/>
    </row>
    <row r="187" ht="15.75">
      <c r="N187" s="232"/>
    </row>
    <row r="188" ht="15.75">
      <c r="N188" s="232"/>
    </row>
    <row r="189" ht="15.75">
      <c r="N189" s="232"/>
    </row>
    <row r="190" ht="15.75">
      <c r="N190" s="232"/>
    </row>
    <row r="191" ht="15.75">
      <c r="N191" s="232"/>
    </row>
    <row r="192" ht="15.75">
      <c r="N192" s="232"/>
    </row>
    <row r="193" ht="15.75">
      <c r="N193" s="232"/>
    </row>
    <row r="194" ht="15.75">
      <c r="N194" s="232"/>
    </row>
    <row r="195" ht="15.75">
      <c r="N195" s="232"/>
    </row>
    <row r="196" ht="15.75">
      <c r="N196" s="232"/>
    </row>
    <row r="197" ht="15.75">
      <c r="N197" s="232"/>
    </row>
    <row r="198" ht="15.75">
      <c r="N198" s="232"/>
    </row>
    <row r="199" ht="15.75">
      <c r="N199" s="232"/>
    </row>
    <row r="200" ht="15.75">
      <c r="N200" s="232"/>
    </row>
    <row r="201" ht="15.75">
      <c r="N201" s="232"/>
    </row>
    <row r="202" ht="15.75">
      <c r="N202" s="232"/>
    </row>
    <row r="203" ht="15.75">
      <c r="N203" s="232"/>
    </row>
    <row r="204" ht="15.75">
      <c r="N204" s="232"/>
    </row>
    <row r="205" ht="15.75">
      <c r="N205" s="232"/>
    </row>
    <row r="206" ht="15.75">
      <c r="N206" s="232"/>
    </row>
    <row r="207" ht="15.75">
      <c r="N207" s="232"/>
    </row>
    <row r="208" ht="15.75">
      <c r="N208" s="232"/>
    </row>
    <row r="209" ht="15.75">
      <c r="N209" s="232"/>
    </row>
    <row r="210" ht="15.75">
      <c r="N210" s="232"/>
    </row>
    <row r="211" ht="15.75">
      <c r="N211" s="232"/>
    </row>
    <row r="212" ht="15.75">
      <c r="N212" s="232"/>
    </row>
    <row r="213" ht="15.75">
      <c r="N213" s="232"/>
    </row>
    <row r="214" ht="15.75">
      <c r="N214" s="232"/>
    </row>
    <row r="215" ht="15.75">
      <c r="N215" s="232"/>
    </row>
    <row r="216" ht="15.75">
      <c r="N216" s="232"/>
    </row>
    <row r="217" ht="15.75">
      <c r="N217" s="232"/>
    </row>
    <row r="218" ht="15.75">
      <c r="N218" s="232"/>
    </row>
    <row r="219" ht="15.75">
      <c r="N219" s="232"/>
    </row>
    <row r="220" ht="15.75">
      <c r="N220" s="232"/>
    </row>
    <row r="221" ht="15.75">
      <c r="N221" s="232"/>
    </row>
    <row r="222" ht="15.75">
      <c r="N222" s="232"/>
    </row>
  </sheetData>
  <sheetProtection/>
  <mergeCells count="17">
    <mergeCell ref="N5:N6"/>
    <mergeCell ref="G5:G6"/>
    <mergeCell ref="H5:H6"/>
    <mergeCell ref="I5:I6"/>
    <mergeCell ref="J5:J6"/>
    <mergeCell ref="K5:K6"/>
    <mergeCell ref="L5:M5"/>
    <mergeCell ref="A1:N1"/>
    <mergeCell ref="A2:N2"/>
    <mergeCell ref="A3:N3"/>
    <mergeCell ref="K4:N4"/>
    <mergeCell ref="A5:A6"/>
    <mergeCell ref="B5:B6"/>
    <mergeCell ref="C5:C6"/>
    <mergeCell ref="D5:D6"/>
    <mergeCell ref="E5:E6"/>
    <mergeCell ref="F5:F6"/>
  </mergeCells>
  <printOptions/>
  <pageMargins left="0.7086614173228347" right="0.3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60" zoomScalePageLayoutView="0" workbookViewId="0" topLeftCell="A17">
      <selection activeCell="M11" sqref="M11"/>
    </sheetView>
  </sheetViews>
  <sheetFormatPr defaultColWidth="8.88671875" defaultRowHeight="16.5"/>
  <cols>
    <col min="1" max="1" width="4.5546875" style="384" customWidth="1"/>
    <col min="2" max="2" width="59.10546875" style="384" customWidth="1"/>
    <col min="3" max="3" width="9.4453125" style="384" customWidth="1"/>
    <col min="4" max="4" width="9.6640625" style="384" customWidth="1"/>
    <col min="5" max="5" width="10.3359375" style="384" customWidth="1"/>
    <col min="6" max="6" width="15.99609375" style="384" customWidth="1"/>
    <col min="7" max="7" width="9.21484375" style="384" bestFit="1" customWidth="1"/>
    <col min="8" max="16384" width="8.88671875" style="384" customWidth="1"/>
  </cols>
  <sheetData>
    <row r="1" spans="1:3" ht="22.5" customHeight="1" hidden="1">
      <c r="A1" s="383" t="s">
        <v>200</v>
      </c>
      <c r="B1" s="383"/>
      <c r="C1" s="383"/>
    </row>
    <row r="2" spans="1:6" ht="22.5" customHeight="1">
      <c r="A2" s="383" t="s">
        <v>364</v>
      </c>
      <c r="B2" s="383"/>
      <c r="C2" s="383"/>
      <c r="D2" s="383"/>
      <c r="E2" s="383"/>
      <c r="F2" s="383"/>
    </row>
    <row r="3" spans="1:6" ht="41.25" customHeight="1">
      <c r="A3" s="408" t="s">
        <v>365</v>
      </c>
      <c r="B3" s="408"/>
      <c r="C3" s="408"/>
      <c r="D3" s="408"/>
      <c r="E3" s="408"/>
      <c r="F3" s="408"/>
    </row>
    <row r="4" spans="1:6" ht="17.25" customHeight="1">
      <c r="A4" s="385" t="str">
        <f>'BIỂU 06'!A3:N3</f>
        <v>(Kèm theo Báo cáo số 155a /BC-UBND ngày 31 /5/2021 của UBND huyện Tủa Chùa)</v>
      </c>
      <c r="B4" s="385"/>
      <c r="C4" s="385"/>
      <c r="D4" s="385"/>
      <c r="E4" s="385"/>
      <c r="F4" s="385"/>
    </row>
    <row r="5" spans="1:6" ht="24.75" customHeight="1">
      <c r="A5" s="386" t="s">
        <v>274</v>
      </c>
      <c r="B5" s="386"/>
      <c r="C5" s="386"/>
      <c r="D5" s="386"/>
      <c r="E5" s="386"/>
      <c r="F5" s="386"/>
    </row>
    <row r="6" spans="1:6" ht="78.75" customHeight="1">
      <c r="A6" s="387" t="s">
        <v>204</v>
      </c>
      <c r="B6" s="387" t="s">
        <v>347</v>
      </c>
      <c r="C6" s="387" t="s">
        <v>348</v>
      </c>
      <c r="D6" s="387" t="s">
        <v>349</v>
      </c>
      <c r="E6" s="387" t="s">
        <v>350</v>
      </c>
      <c r="F6" s="387" t="s">
        <v>351</v>
      </c>
    </row>
    <row r="7" spans="1:7" s="394" customFormat="1" ht="24" customHeight="1">
      <c r="A7" s="388">
        <v>1</v>
      </c>
      <c r="B7" s="389" t="s">
        <v>352</v>
      </c>
      <c r="C7" s="390">
        <f>SUM(C8:C11)</f>
        <v>13500</v>
      </c>
      <c r="D7" s="390" t="str">
        <f>D8</f>
        <v>0</v>
      </c>
      <c r="E7" s="391">
        <f>D7/C7</f>
        <v>0</v>
      </c>
      <c r="F7" s="392"/>
      <c r="G7" s="393"/>
    </row>
    <row r="8" spans="1:6" s="399" customFormat="1" ht="24" customHeight="1">
      <c r="A8" s="388" t="s">
        <v>47</v>
      </c>
      <c r="B8" s="395" t="s">
        <v>353</v>
      </c>
      <c r="C8" s="396">
        <v>3000</v>
      </c>
      <c r="D8" s="397" t="s">
        <v>354</v>
      </c>
      <c r="E8" s="391">
        <f aca="true" t="shared" si="0" ref="E8:E38">D8/C8</f>
        <v>0</v>
      </c>
      <c r="F8" s="398"/>
    </row>
    <row r="9" spans="1:6" s="399" customFormat="1" ht="24" customHeight="1">
      <c r="A9" s="388" t="s">
        <v>47</v>
      </c>
      <c r="B9" s="395" t="s">
        <v>355</v>
      </c>
      <c r="C9" s="396">
        <v>10000</v>
      </c>
      <c r="D9" s="397" t="s">
        <v>354</v>
      </c>
      <c r="E9" s="400">
        <f t="shared" si="0"/>
        <v>0</v>
      </c>
      <c r="F9" s="398"/>
    </row>
    <row r="10" spans="1:6" s="399" customFormat="1" ht="24" customHeight="1">
      <c r="A10" s="388" t="s">
        <v>47</v>
      </c>
      <c r="B10" s="401" t="s">
        <v>356</v>
      </c>
      <c r="C10" s="396">
        <v>200</v>
      </c>
      <c r="D10" s="397" t="s">
        <v>354</v>
      </c>
      <c r="E10" s="400">
        <f t="shared" si="0"/>
        <v>0</v>
      </c>
      <c r="F10" s="398"/>
    </row>
    <row r="11" spans="1:6" s="399" customFormat="1" ht="24" customHeight="1">
      <c r="A11" s="388" t="s">
        <v>47</v>
      </c>
      <c r="B11" s="401" t="s">
        <v>357</v>
      </c>
      <c r="C11" s="396">
        <v>300</v>
      </c>
      <c r="D11" s="397" t="s">
        <v>354</v>
      </c>
      <c r="E11" s="400">
        <f t="shared" si="0"/>
        <v>0</v>
      </c>
      <c r="F11" s="398"/>
    </row>
    <row r="12" spans="1:6" s="394" customFormat="1" ht="24" customHeight="1">
      <c r="A12" s="388">
        <v>2</v>
      </c>
      <c r="B12" s="402" t="s">
        <v>358</v>
      </c>
      <c r="C12" s="403">
        <f>C13</f>
        <v>1000</v>
      </c>
      <c r="D12" s="392">
        <f>D13</f>
        <v>0</v>
      </c>
      <c r="E12" s="391">
        <f t="shared" si="0"/>
        <v>0</v>
      </c>
      <c r="F12" s="392"/>
    </row>
    <row r="13" spans="1:6" s="399" customFormat="1" ht="24" customHeight="1">
      <c r="A13" s="404"/>
      <c r="B13" s="395" t="s">
        <v>359</v>
      </c>
      <c r="C13" s="396">
        <v>1000</v>
      </c>
      <c r="D13" s="398">
        <f aca="true" t="shared" si="1" ref="D13:D38">D14</f>
        <v>0</v>
      </c>
      <c r="E13" s="400">
        <f t="shared" si="0"/>
        <v>0</v>
      </c>
      <c r="F13" s="398"/>
    </row>
    <row r="14" spans="1:6" s="394" customFormat="1" ht="24" customHeight="1">
      <c r="A14" s="388">
        <v>3</v>
      </c>
      <c r="B14" s="389" t="s">
        <v>116</v>
      </c>
      <c r="C14" s="403">
        <f>C15+C16</f>
        <v>308</v>
      </c>
      <c r="D14" s="392">
        <f t="shared" si="1"/>
        <v>0</v>
      </c>
      <c r="E14" s="391">
        <f t="shared" si="0"/>
        <v>0</v>
      </c>
      <c r="F14" s="392"/>
    </row>
    <row r="15" spans="1:6" s="399" customFormat="1" ht="24" customHeight="1">
      <c r="A15" s="404" t="s">
        <v>47</v>
      </c>
      <c r="B15" s="395" t="s">
        <v>360</v>
      </c>
      <c r="C15" s="396">
        <v>268</v>
      </c>
      <c r="D15" s="398">
        <f t="shared" si="1"/>
        <v>0</v>
      </c>
      <c r="E15" s="400">
        <f t="shared" si="0"/>
        <v>0</v>
      </c>
      <c r="F15" s="398"/>
    </row>
    <row r="16" spans="1:6" s="399" customFormat="1" ht="24" customHeight="1">
      <c r="A16" s="404" t="s">
        <v>47</v>
      </c>
      <c r="B16" s="395" t="s">
        <v>361</v>
      </c>
      <c r="C16" s="396">
        <v>40</v>
      </c>
      <c r="D16" s="398">
        <f t="shared" si="1"/>
        <v>0</v>
      </c>
      <c r="E16" s="400">
        <f t="shared" si="0"/>
        <v>0</v>
      </c>
      <c r="F16" s="398"/>
    </row>
    <row r="17" spans="1:6" s="394" customFormat="1" ht="24" customHeight="1">
      <c r="A17" s="388">
        <v>4</v>
      </c>
      <c r="B17" s="389" t="s">
        <v>112</v>
      </c>
      <c r="C17" s="403">
        <f>C18+C19</f>
        <v>365</v>
      </c>
      <c r="D17" s="392">
        <f t="shared" si="1"/>
        <v>0</v>
      </c>
      <c r="E17" s="391">
        <f t="shared" si="0"/>
        <v>0</v>
      </c>
      <c r="F17" s="392"/>
    </row>
    <row r="18" spans="1:6" s="399" customFormat="1" ht="24" customHeight="1">
      <c r="A18" s="404" t="s">
        <v>47</v>
      </c>
      <c r="B18" s="395" t="s">
        <v>362</v>
      </c>
      <c r="C18" s="396">
        <v>245</v>
      </c>
      <c r="D18" s="398">
        <f t="shared" si="1"/>
        <v>0</v>
      </c>
      <c r="E18" s="400">
        <f t="shared" si="0"/>
        <v>0</v>
      </c>
      <c r="F18" s="398"/>
    </row>
    <row r="19" spans="1:6" s="399" customFormat="1" ht="24" customHeight="1">
      <c r="A19" s="404" t="s">
        <v>47</v>
      </c>
      <c r="B19" s="395" t="s">
        <v>361</v>
      </c>
      <c r="C19" s="396">
        <v>120</v>
      </c>
      <c r="D19" s="398">
        <f t="shared" si="1"/>
        <v>0</v>
      </c>
      <c r="E19" s="400">
        <f t="shared" si="0"/>
        <v>0</v>
      </c>
      <c r="F19" s="398"/>
    </row>
    <row r="20" spans="1:6" s="394" customFormat="1" ht="24" customHeight="1">
      <c r="A20" s="388">
        <v>5</v>
      </c>
      <c r="B20" s="405" t="s">
        <v>219</v>
      </c>
      <c r="C20" s="403">
        <f>C21</f>
        <v>420</v>
      </c>
      <c r="D20" s="392">
        <f t="shared" si="1"/>
        <v>0</v>
      </c>
      <c r="E20" s="391">
        <f t="shared" si="0"/>
        <v>0</v>
      </c>
      <c r="F20" s="392"/>
    </row>
    <row r="21" spans="1:6" s="399" customFormat="1" ht="24" customHeight="1">
      <c r="A21" s="404"/>
      <c r="B21" s="395" t="s">
        <v>361</v>
      </c>
      <c r="C21" s="396">
        <v>420</v>
      </c>
      <c r="D21" s="398">
        <f t="shared" si="1"/>
        <v>0</v>
      </c>
      <c r="E21" s="400">
        <f t="shared" si="0"/>
        <v>0</v>
      </c>
      <c r="F21" s="398"/>
    </row>
    <row r="22" spans="1:6" s="394" customFormat="1" ht="24" customHeight="1">
      <c r="A22" s="388">
        <v>6</v>
      </c>
      <c r="B22" s="405" t="s">
        <v>113</v>
      </c>
      <c r="C22" s="403">
        <f>C23</f>
        <v>200</v>
      </c>
      <c r="D22" s="392">
        <f t="shared" si="1"/>
        <v>0</v>
      </c>
      <c r="E22" s="391">
        <f t="shared" si="0"/>
        <v>0</v>
      </c>
      <c r="F22" s="392"/>
    </row>
    <row r="23" spans="1:6" s="399" customFormat="1" ht="24" customHeight="1">
      <c r="A23" s="404"/>
      <c r="B23" s="395" t="s">
        <v>361</v>
      </c>
      <c r="C23" s="396">
        <v>200</v>
      </c>
      <c r="D23" s="398">
        <f t="shared" si="1"/>
        <v>0</v>
      </c>
      <c r="E23" s="400">
        <f t="shared" si="0"/>
        <v>0</v>
      </c>
      <c r="F23" s="398"/>
    </row>
    <row r="24" spans="1:6" s="394" customFormat="1" ht="24" customHeight="1">
      <c r="A24" s="388">
        <v>7</v>
      </c>
      <c r="B24" s="405" t="s">
        <v>114</v>
      </c>
      <c r="C24" s="403">
        <f>C25</f>
        <v>40</v>
      </c>
      <c r="D24" s="392">
        <f t="shared" si="1"/>
        <v>0</v>
      </c>
      <c r="E24" s="391">
        <f t="shared" si="0"/>
        <v>0</v>
      </c>
      <c r="F24" s="392"/>
    </row>
    <row r="25" spans="1:6" s="399" customFormat="1" ht="24" customHeight="1">
      <c r="A25" s="404"/>
      <c r="B25" s="395" t="s">
        <v>361</v>
      </c>
      <c r="C25" s="396">
        <v>40</v>
      </c>
      <c r="D25" s="398">
        <f t="shared" si="1"/>
        <v>0</v>
      </c>
      <c r="E25" s="400">
        <f t="shared" si="0"/>
        <v>0</v>
      </c>
      <c r="F25" s="398"/>
    </row>
    <row r="26" spans="1:6" s="394" customFormat="1" ht="24" customHeight="1">
      <c r="A26" s="388">
        <v>8</v>
      </c>
      <c r="B26" s="405" t="s">
        <v>115</v>
      </c>
      <c r="C26" s="403">
        <f>C27</f>
        <v>80</v>
      </c>
      <c r="D26" s="392">
        <f t="shared" si="1"/>
        <v>0</v>
      </c>
      <c r="E26" s="391">
        <f t="shared" si="0"/>
        <v>0</v>
      </c>
      <c r="F26" s="392"/>
    </row>
    <row r="27" spans="1:6" s="399" customFormat="1" ht="24" customHeight="1">
      <c r="A27" s="404"/>
      <c r="B27" s="395" t="s">
        <v>361</v>
      </c>
      <c r="C27" s="396">
        <v>80</v>
      </c>
      <c r="D27" s="398">
        <f t="shared" si="1"/>
        <v>0</v>
      </c>
      <c r="E27" s="400">
        <f t="shared" si="0"/>
        <v>0</v>
      </c>
      <c r="F27" s="398"/>
    </row>
    <row r="28" spans="1:6" s="394" customFormat="1" ht="24" customHeight="1">
      <c r="A28" s="388">
        <v>9</v>
      </c>
      <c r="B28" s="405" t="s">
        <v>120</v>
      </c>
      <c r="C28" s="403">
        <f>C29</f>
        <v>20</v>
      </c>
      <c r="D28" s="392">
        <f t="shared" si="1"/>
        <v>0</v>
      </c>
      <c r="E28" s="391">
        <f t="shared" si="0"/>
        <v>0</v>
      </c>
      <c r="F28" s="392"/>
    </row>
    <row r="29" spans="1:6" s="399" customFormat="1" ht="24" customHeight="1">
      <c r="A29" s="404"/>
      <c r="B29" s="395" t="s">
        <v>361</v>
      </c>
      <c r="C29" s="396">
        <v>20</v>
      </c>
      <c r="D29" s="398">
        <f t="shared" si="1"/>
        <v>0</v>
      </c>
      <c r="E29" s="400">
        <f t="shared" si="0"/>
        <v>0</v>
      </c>
      <c r="F29" s="398"/>
    </row>
    <row r="30" spans="1:6" s="394" customFormat="1" ht="24" customHeight="1">
      <c r="A30" s="389">
        <v>10</v>
      </c>
      <c r="B30" s="405" t="s">
        <v>119</v>
      </c>
      <c r="C30" s="403">
        <f>C31</f>
        <v>100</v>
      </c>
      <c r="D30" s="392">
        <f t="shared" si="1"/>
        <v>0</v>
      </c>
      <c r="E30" s="391">
        <f t="shared" si="0"/>
        <v>0</v>
      </c>
      <c r="F30" s="392"/>
    </row>
    <row r="31" spans="1:6" s="399" customFormat="1" ht="24" customHeight="1">
      <c r="A31" s="395"/>
      <c r="B31" s="395" t="s">
        <v>361</v>
      </c>
      <c r="C31" s="396">
        <v>100</v>
      </c>
      <c r="D31" s="398">
        <f t="shared" si="1"/>
        <v>0</v>
      </c>
      <c r="E31" s="400">
        <f t="shared" si="0"/>
        <v>0</v>
      </c>
      <c r="F31" s="398"/>
    </row>
    <row r="32" spans="1:6" s="394" customFormat="1" ht="24" customHeight="1">
      <c r="A32" s="392">
        <v>11</v>
      </c>
      <c r="B32" s="405" t="s">
        <v>122</v>
      </c>
      <c r="C32" s="403">
        <f>C33</f>
        <v>520</v>
      </c>
      <c r="D32" s="392">
        <f t="shared" si="1"/>
        <v>0</v>
      </c>
      <c r="E32" s="391">
        <f t="shared" si="0"/>
        <v>0</v>
      </c>
      <c r="F32" s="392"/>
    </row>
    <row r="33" spans="1:6" s="399" customFormat="1" ht="24" customHeight="1">
      <c r="A33" s="398"/>
      <c r="B33" s="395" t="s">
        <v>361</v>
      </c>
      <c r="C33" s="396">
        <v>520</v>
      </c>
      <c r="D33" s="398">
        <f t="shared" si="1"/>
        <v>0</v>
      </c>
      <c r="E33" s="400">
        <f t="shared" si="0"/>
        <v>0</v>
      </c>
      <c r="F33" s="398"/>
    </row>
    <row r="34" spans="1:6" s="394" customFormat="1" ht="24" customHeight="1">
      <c r="A34" s="392">
        <v>12</v>
      </c>
      <c r="B34" s="405" t="s">
        <v>121</v>
      </c>
      <c r="C34" s="403">
        <f>C35</f>
        <v>20</v>
      </c>
      <c r="D34" s="392">
        <f t="shared" si="1"/>
        <v>0</v>
      </c>
      <c r="E34" s="391">
        <f t="shared" si="0"/>
        <v>0</v>
      </c>
      <c r="F34" s="392"/>
    </row>
    <row r="35" spans="1:6" s="399" customFormat="1" ht="24" customHeight="1">
      <c r="A35" s="398"/>
      <c r="B35" s="395" t="s">
        <v>361</v>
      </c>
      <c r="C35" s="396">
        <v>20</v>
      </c>
      <c r="D35" s="398">
        <f t="shared" si="1"/>
        <v>0</v>
      </c>
      <c r="E35" s="400">
        <f t="shared" si="0"/>
        <v>0</v>
      </c>
      <c r="F35" s="398"/>
    </row>
    <row r="36" spans="1:6" s="394" customFormat="1" ht="24" customHeight="1">
      <c r="A36" s="392">
        <v>13</v>
      </c>
      <c r="B36" s="405" t="s">
        <v>117</v>
      </c>
      <c r="C36" s="403">
        <f>C37</f>
        <v>80</v>
      </c>
      <c r="D36" s="392">
        <f t="shared" si="1"/>
        <v>0</v>
      </c>
      <c r="E36" s="391">
        <f t="shared" si="0"/>
        <v>0</v>
      </c>
      <c r="F36" s="392"/>
    </row>
    <row r="37" spans="1:6" s="399" customFormat="1" ht="24" customHeight="1">
      <c r="A37" s="398"/>
      <c r="B37" s="395" t="s">
        <v>361</v>
      </c>
      <c r="C37" s="396">
        <v>80</v>
      </c>
      <c r="D37" s="398">
        <f t="shared" si="1"/>
        <v>0</v>
      </c>
      <c r="E37" s="400">
        <f t="shared" si="0"/>
        <v>0</v>
      </c>
      <c r="F37" s="398"/>
    </row>
    <row r="38" spans="1:6" s="399" customFormat="1" ht="24" customHeight="1">
      <c r="A38" s="398"/>
      <c r="B38" s="388" t="s">
        <v>221</v>
      </c>
      <c r="C38" s="406">
        <f>C7+C12+C14+C17+C20+C22+C24+C26+C28+C30+C32+C34+C36</f>
        <v>16653</v>
      </c>
      <c r="D38" s="392">
        <f t="shared" si="1"/>
        <v>0</v>
      </c>
      <c r="E38" s="391">
        <f t="shared" si="0"/>
        <v>0</v>
      </c>
      <c r="F38" s="398"/>
    </row>
  </sheetData>
  <sheetProtection/>
  <mergeCells count="5">
    <mergeCell ref="A1:C1"/>
    <mergeCell ref="A3:F3"/>
    <mergeCell ref="A5:F5"/>
    <mergeCell ref="A4:F4"/>
    <mergeCell ref="A2:F2"/>
  </mergeCells>
  <printOptions/>
  <pageMargins left="0.7086614173228347" right="0.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H17">
      <selection activeCell="Y11" sqref="Y11"/>
    </sheetView>
  </sheetViews>
  <sheetFormatPr defaultColWidth="7.99609375" defaultRowHeight="16.5"/>
  <cols>
    <col min="1" max="1" width="5.99609375" style="1" customWidth="1"/>
    <col min="2" max="2" width="21.10546875" style="1" customWidth="1"/>
    <col min="3" max="3" width="11.5546875" style="1" customWidth="1"/>
    <col min="4" max="4" width="10.77734375" style="1" customWidth="1"/>
    <col min="5" max="5" width="11.5546875" style="1" customWidth="1"/>
    <col min="6" max="11" width="10.77734375" style="1" customWidth="1"/>
    <col min="12" max="12" width="6.88671875" style="1" customWidth="1"/>
    <col min="13" max="13" width="6.10546875" style="1" customWidth="1"/>
    <col min="14" max="14" width="7.3359375" style="1" customWidth="1"/>
    <col min="15" max="17" width="6.10546875" style="1" customWidth="1"/>
    <col min="18" max="18" width="18.6640625" style="56" hidden="1" customWidth="1"/>
    <col min="19" max="19" width="16.10546875" style="1" hidden="1" customWidth="1"/>
    <col min="20" max="20" width="13.5546875" style="1" hidden="1" customWidth="1"/>
    <col min="21" max="21" width="13.4453125" style="1" hidden="1" customWidth="1"/>
    <col min="22" max="16384" width="7.99609375" style="1" customWidth="1"/>
  </cols>
  <sheetData>
    <row r="1" spans="1:18" ht="21" customHeight="1">
      <c r="A1" s="299" t="s">
        <v>130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58"/>
    </row>
    <row r="2" spans="1:18" ht="21" customHeight="1">
      <c r="A2" s="300" t="s">
        <v>134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59"/>
    </row>
    <row r="3" spans="1:18" ht="21" customHeight="1">
      <c r="A3" s="298" t="s">
        <v>135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60"/>
    </row>
    <row r="4" spans="1:18" ht="19.5" customHeight="1">
      <c r="A4" s="301" t="s">
        <v>72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61"/>
    </row>
    <row r="5" spans="1:18" s="2" customFormat="1" ht="25.5" customHeight="1">
      <c r="A5" s="287" t="s">
        <v>7</v>
      </c>
      <c r="B5" s="287" t="s">
        <v>107</v>
      </c>
      <c r="C5" s="287" t="s">
        <v>138</v>
      </c>
      <c r="D5" s="287"/>
      <c r="E5" s="287"/>
      <c r="F5" s="287" t="s">
        <v>139</v>
      </c>
      <c r="G5" s="287"/>
      <c r="H5" s="287"/>
      <c r="I5" s="287" t="s">
        <v>123</v>
      </c>
      <c r="J5" s="287"/>
      <c r="K5" s="287"/>
      <c r="L5" s="295" t="s">
        <v>143</v>
      </c>
      <c r="M5" s="296"/>
      <c r="N5" s="311"/>
      <c r="O5" s="287" t="s">
        <v>143</v>
      </c>
      <c r="P5" s="287"/>
      <c r="Q5" s="287"/>
      <c r="R5" s="62"/>
    </row>
    <row r="6" spans="1:18" s="2" customFormat="1" ht="19.5" customHeight="1">
      <c r="A6" s="287"/>
      <c r="B6" s="287"/>
      <c r="C6" s="287" t="s">
        <v>108</v>
      </c>
      <c r="D6" s="287" t="s">
        <v>109</v>
      </c>
      <c r="E6" s="287"/>
      <c r="F6" s="287" t="s">
        <v>108</v>
      </c>
      <c r="G6" s="287" t="s">
        <v>109</v>
      </c>
      <c r="H6" s="287"/>
      <c r="I6" s="287" t="s">
        <v>108</v>
      </c>
      <c r="J6" s="287" t="s">
        <v>109</v>
      </c>
      <c r="K6" s="287"/>
      <c r="L6" s="288" t="s">
        <v>108</v>
      </c>
      <c r="M6" s="295" t="s">
        <v>109</v>
      </c>
      <c r="N6" s="311"/>
      <c r="O6" s="287" t="s">
        <v>108</v>
      </c>
      <c r="P6" s="287" t="s">
        <v>109</v>
      </c>
      <c r="Q6" s="287"/>
      <c r="R6" s="62"/>
    </row>
    <row r="7" spans="1:18" s="2" customFormat="1" ht="23.25" customHeight="1">
      <c r="A7" s="287"/>
      <c r="B7" s="287"/>
      <c r="C7" s="287"/>
      <c r="D7" s="309" t="s">
        <v>124</v>
      </c>
      <c r="E7" s="309" t="s">
        <v>56</v>
      </c>
      <c r="F7" s="287"/>
      <c r="G7" s="309" t="s">
        <v>124</v>
      </c>
      <c r="H7" s="309" t="s">
        <v>56</v>
      </c>
      <c r="I7" s="287"/>
      <c r="J7" s="309" t="s">
        <v>124</v>
      </c>
      <c r="K7" s="309" t="s">
        <v>56</v>
      </c>
      <c r="L7" s="310"/>
      <c r="M7" s="312" t="s">
        <v>124</v>
      </c>
      <c r="N7" s="312" t="s">
        <v>56</v>
      </c>
      <c r="O7" s="287"/>
      <c r="P7" s="309" t="s">
        <v>124</v>
      </c>
      <c r="Q7" s="309" t="s">
        <v>56</v>
      </c>
      <c r="R7" s="62"/>
    </row>
    <row r="8" spans="1:18" s="2" customFormat="1" ht="23.25" customHeight="1">
      <c r="A8" s="287"/>
      <c r="B8" s="287"/>
      <c r="C8" s="287"/>
      <c r="D8" s="309"/>
      <c r="E8" s="309"/>
      <c r="F8" s="287"/>
      <c r="G8" s="309"/>
      <c r="H8" s="309"/>
      <c r="I8" s="287"/>
      <c r="J8" s="309"/>
      <c r="K8" s="309"/>
      <c r="L8" s="310"/>
      <c r="M8" s="313"/>
      <c r="N8" s="313"/>
      <c r="O8" s="287"/>
      <c r="P8" s="309"/>
      <c r="Q8" s="309"/>
      <c r="R8" s="62"/>
    </row>
    <row r="9" spans="1:18" s="2" customFormat="1" ht="81.75" customHeight="1">
      <c r="A9" s="287"/>
      <c r="B9" s="287"/>
      <c r="C9" s="287"/>
      <c r="D9" s="309"/>
      <c r="E9" s="309"/>
      <c r="F9" s="287"/>
      <c r="G9" s="309"/>
      <c r="H9" s="309"/>
      <c r="I9" s="287"/>
      <c r="J9" s="309"/>
      <c r="K9" s="309"/>
      <c r="L9" s="289"/>
      <c r="M9" s="314"/>
      <c r="N9" s="314"/>
      <c r="O9" s="287"/>
      <c r="P9" s="309"/>
      <c r="Q9" s="309"/>
      <c r="R9" s="62"/>
    </row>
    <row r="10" spans="1:18" s="29" customFormat="1" ht="22.5" customHeight="1">
      <c r="A10" s="28" t="s">
        <v>10</v>
      </c>
      <c r="B10" s="28" t="s">
        <v>11</v>
      </c>
      <c r="C10" s="28">
        <v>1</v>
      </c>
      <c r="D10" s="28">
        <v>2</v>
      </c>
      <c r="E10" s="28">
        <v>3</v>
      </c>
      <c r="F10" s="28">
        <v>4</v>
      </c>
      <c r="G10" s="28">
        <v>5</v>
      </c>
      <c r="H10" s="28">
        <v>6</v>
      </c>
      <c r="I10" s="28">
        <v>7</v>
      </c>
      <c r="J10" s="28">
        <v>8</v>
      </c>
      <c r="K10" s="28">
        <v>9</v>
      </c>
      <c r="L10" s="28" t="s">
        <v>144</v>
      </c>
      <c r="M10" s="28" t="s">
        <v>145</v>
      </c>
      <c r="N10" s="28" t="s">
        <v>146</v>
      </c>
      <c r="O10" s="28" t="s">
        <v>147</v>
      </c>
      <c r="P10" s="28" t="s">
        <v>148</v>
      </c>
      <c r="Q10" s="28" t="s">
        <v>149</v>
      </c>
      <c r="R10" s="63"/>
    </row>
    <row r="11" spans="1:18" s="39" customFormat="1" ht="24.75" customHeight="1">
      <c r="A11" s="36"/>
      <c r="B11" s="36" t="s">
        <v>108</v>
      </c>
      <c r="C11" s="37">
        <f>C12+C25</f>
        <v>134755685921</v>
      </c>
      <c r="D11" s="37">
        <f>D12+D25</f>
        <v>940000000</v>
      </c>
      <c r="E11" s="37">
        <f aca="true" t="shared" si="0" ref="E11:K11">E12+E25</f>
        <v>133815685921</v>
      </c>
      <c r="F11" s="37">
        <f t="shared" si="0"/>
        <v>68434433032</v>
      </c>
      <c r="G11" s="37">
        <f t="shared" si="0"/>
        <v>320088111</v>
      </c>
      <c r="H11" s="37">
        <f t="shared" si="0"/>
        <v>68114344921</v>
      </c>
      <c r="I11" s="37">
        <f t="shared" si="0"/>
        <v>81654003035</v>
      </c>
      <c r="J11" s="37">
        <f t="shared" si="0"/>
        <v>405213618</v>
      </c>
      <c r="K11" s="37">
        <f t="shared" si="0"/>
        <v>81248789417</v>
      </c>
      <c r="L11" s="52">
        <f>F11/C11</f>
        <v>0.5078407828528988</v>
      </c>
      <c r="M11" s="52">
        <f>G11/D11</f>
        <v>0.3405192670212766</v>
      </c>
      <c r="N11" s="52">
        <f>H11/E11</f>
        <v>0.5090161474882121</v>
      </c>
      <c r="O11" s="52">
        <f>I11/C11</f>
        <v>0.6059410590130448</v>
      </c>
      <c r="P11" s="52">
        <f>J11/D11</f>
        <v>0.4310783170212766</v>
      </c>
      <c r="Q11" s="52">
        <f>K11/E11</f>
        <v>0.6071693976516802</v>
      </c>
      <c r="R11" s="64"/>
    </row>
    <row r="12" spans="1:18" s="39" customFormat="1" ht="24.75" customHeight="1" hidden="1">
      <c r="A12" s="36" t="s">
        <v>12</v>
      </c>
      <c r="B12" s="40" t="s">
        <v>110</v>
      </c>
      <c r="C12" s="37">
        <f>SUM(C13:C24)</f>
        <v>134755685921</v>
      </c>
      <c r="D12" s="37">
        <f>SUM(D13:D24)</f>
        <v>940000000</v>
      </c>
      <c r="E12" s="37">
        <f aca="true" t="shared" si="1" ref="E12:K12">SUM(E13:E24)</f>
        <v>133815685921</v>
      </c>
      <c r="F12" s="37">
        <f t="shared" si="1"/>
        <v>68434433032</v>
      </c>
      <c r="G12" s="37">
        <f t="shared" si="1"/>
        <v>320088111</v>
      </c>
      <c r="H12" s="37">
        <f t="shared" si="1"/>
        <v>68114344921</v>
      </c>
      <c r="I12" s="37">
        <f t="shared" si="1"/>
        <v>81654003035</v>
      </c>
      <c r="J12" s="37">
        <f t="shared" si="1"/>
        <v>405213618</v>
      </c>
      <c r="K12" s="37">
        <f t="shared" si="1"/>
        <v>81248789417</v>
      </c>
      <c r="L12" s="52">
        <f aca="true" t="shared" si="2" ref="L12:L24">F12/C12</f>
        <v>0.5078407828528988</v>
      </c>
      <c r="M12" s="52">
        <f aca="true" t="shared" si="3" ref="M12:M24">G12/D12</f>
        <v>0.3405192670212766</v>
      </c>
      <c r="N12" s="52">
        <f aca="true" t="shared" si="4" ref="N12:N24">H12/E12</f>
        <v>0.5090161474882121</v>
      </c>
      <c r="O12" s="38">
        <f aca="true" t="shared" si="5" ref="O12:Q24">I12/C12</f>
        <v>0.6059410590130448</v>
      </c>
      <c r="P12" s="38">
        <f t="shared" si="5"/>
        <v>0.4310783170212766</v>
      </c>
      <c r="Q12" s="38">
        <f t="shared" si="5"/>
        <v>0.6071693976516802</v>
      </c>
      <c r="R12" s="65"/>
    </row>
    <row r="13" spans="1:21" s="45" customFormat="1" ht="24.75" customHeight="1">
      <c r="A13" s="41">
        <v>1</v>
      </c>
      <c r="B13" s="42" t="s">
        <v>111</v>
      </c>
      <c r="C13" s="43">
        <f>D13+E13</f>
        <v>6588000000</v>
      </c>
      <c r="D13" s="43">
        <f>270000000+360000000</f>
        <v>630000000</v>
      </c>
      <c r="E13" s="43">
        <v>5958000000</v>
      </c>
      <c r="F13" s="43">
        <f>G13+H13</f>
        <v>3867314505</v>
      </c>
      <c r="G13" s="43">
        <v>267314505</v>
      </c>
      <c r="H13" s="43">
        <v>3600000000</v>
      </c>
      <c r="I13" s="43">
        <f>J13+K13</f>
        <v>4413993618</v>
      </c>
      <c r="J13" s="44">
        <v>313993618</v>
      </c>
      <c r="K13" s="44">
        <v>4100000000</v>
      </c>
      <c r="L13" s="52">
        <f>F13/C13</f>
        <v>0.5870240596539162</v>
      </c>
      <c r="M13" s="38">
        <f t="shared" si="3"/>
        <v>0.4243087380952381</v>
      </c>
      <c r="N13" s="38">
        <f t="shared" si="4"/>
        <v>0.6042296072507553</v>
      </c>
      <c r="O13" s="52">
        <f t="shared" si="5"/>
        <v>0.6700051029143897</v>
      </c>
      <c r="P13" s="38">
        <f>J13/D13</f>
        <v>0.4984025682539683</v>
      </c>
      <c r="Q13" s="38">
        <f>K13/E13</f>
        <v>0.6881503860355824</v>
      </c>
      <c r="R13" s="66">
        <f>I13-'04'!I12</f>
        <v>413993618</v>
      </c>
      <c r="S13" s="46">
        <f>F13-'04'!F12</f>
        <v>414293618</v>
      </c>
      <c r="T13" s="46">
        <f>I13-'04'!I12</f>
        <v>413993618</v>
      </c>
      <c r="U13" s="46">
        <f>K13-H13</f>
        <v>500000000</v>
      </c>
    </row>
    <row r="14" spans="1:21" s="45" customFormat="1" ht="24.75" customHeight="1">
      <c r="A14" s="41">
        <v>2</v>
      </c>
      <c r="B14" s="42" t="s">
        <v>112</v>
      </c>
      <c r="C14" s="43">
        <f>D14+E14</f>
        <v>10074977678</v>
      </c>
      <c r="D14" s="44">
        <v>30000000</v>
      </c>
      <c r="E14" s="44">
        <v>10044977678</v>
      </c>
      <c r="F14" s="43">
        <f aca="true" t="shared" si="6" ref="F14:F24">G14+H14</f>
        <v>4661639585</v>
      </c>
      <c r="G14" s="44">
        <v>7561907</v>
      </c>
      <c r="H14" s="44">
        <v>4654077678</v>
      </c>
      <c r="I14" s="43">
        <f aca="true" t="shared" si="7" ref="I14:I24">J14+K14</f>
        <v>6487077678</v>
      </c>
      <c r="J14" s="44">
        <v>8000000</v>
      </c>
      <c r="K14" s="44">
        <f>6279077678+200000000</f>
        <v>6479077678</v>
      </c>
      <c r="L14" s="52">
        <f t="shared" si="2"/>
        <v>0.46269478047373597</v>
      </c>
      <c r="M14" s="38">
        <f t="shared" si="3"/>
        <v>0.2520635666666667</v>
      </c>
      <c r="N14" s="38">
        <f t="shared" si="4"/>
        <v>0.46332384473020033</v>
      </c>
      <c r="O14" s="52">
        <f t="shared" si="5"/>
        <v>0.6438801042870161</v>
      </c>
      <c r="P14" s="38">
        <f t="shared" si="5"/>
        <v>0.26666666666666666</v>
      </c>
      <c r="Q14" s="38">
        <f t="shared" si="5"/>
        <v>0.6450066775349981</v>
      </c>
      <c r="R14" s="66">
        <f>I14-'04'!I13</f>
        <v>1232312108</v>
      </c>
      <c r="S14" s="46">
        <f>F14-'04'!F13</f>
        <v>999599610</v>
      </c>
      <c r="T14" s="46">
        <f>I14-'04'!I13</f>
        <v>1232312108</v>
      </c>
      <c r="U14" s="46">
        <f aca="true" t="shared" si="8" ref="U14:U24">K14-H14</f>
        <v>1825000000</v>
      </c>
    </row>
    <row r="15" spans="1:21" s="45" customFormat="1" ht="24.75" customHeight="1">
      <c r="A15" s="41">
        <v>3</v>
      </c>
      <c r="B15" s="42" t="s">
        <v>113</v>
      </c>
      <c r="C15" s="43">
        <f aca="true" t="shared" si="9" ref="C15:C24">D15+E15</f>
        <v>14967500000</v>
      </c>
      <c r="D15" s="43">
        <v>50000000</v>
      </c>
      <c r="E15" s="43">
        <v>14917500000</v>
      </c>
      <c r="F15" s="43">
        <f t="shared" si="6"/>
        <v>8613942699</v>
      </c>
      <c r="G15" s="43">
        <v>7327699</v>
      </c>
      <c r="H15" s="43">
        <v>8606615000</v>
      </c>
      <c r="I15" s="43">
        <f t="shared" si="7"/>
        <v>10032138000</v>
      </c>
      <c r="J15" s="43">
        <v>10000000</v>
      </c>
      <c r="K15" s="43">
        <f>9722138000+300000000</f>
        <v>10022138000</v>
      </c>
      <c r="L15" s="52">
        <f t="shared" si="2"/>
        <v>0.5755097844663437</v>
      </c>
      <c r="M15" s="38">
        <f t="shared" si="3"/>
        <v>0.14655398</v>
      </c>
      <c r="N15" s="38">
        <f t="shared" si="4"/>
        <v>0.5769475448298977</v>
      </c>
      <c r="O15" s="52">
        <f t="shared" si="5"/>
        <v>0.6702614331050609</v>
      </c>
      <c r="P15" s="38">
        <f t="shared" si="5"/>
        <v>0.2</v>
      </c>
      <c r="Q15" s="38">
        <f t="shared" si="5"/>
        <v>0.6718376403552874</v>
      </c>
      <c r="R15" s="66">
        <f>I15-'04'!I14</f>
        <v>445618048</v>
      </c>
      <c r="S15" s="46">
        <f>F15-'04'!F14</f>
        <v>1089667705</v>
      </c>
      <c r="T15" s="46">
        <f>I15-'04'!I14</f>
        <v>445618048</v>
      </c>
      <c r="U15" s="46">
        <f t="shared" si="8"/>
        <v>1415523000</v>
      </c>
    </row>
    <row r="16" spans="1:21" s="45" customFormat="1" ht="24.75" customHeight="1">
      <c r="A16" s="41">
        <v>4</v>
      </c>
      <c r="B16" s="42" t="s">
        <v>114</v>
      </c>
      <c r="C16" s="43">
        <f t="shared" si="9"/>
        <v>10499500000</v>
      </c>
      <c r="D16" s="43">
        <v>22000000</v>
      </c>
      <c r="E16" s="43">
        <v>10477500000</v>
      </c>
      <c r="F16" s="43">
        <f t="shared" si="6"/>
        <v>4393000000</v>
      </c>
      <c r="G16" s="43"/>
      <c r="H16" s="43">
        <f>3393000000+1000000000</f>
        <v>4393000000</v>
      </c>
      <c r="I16" s="43">
        <f t="shared" si="7"/>
        <v>5903000000</v>
      </c>
      <c r="J16" s="43">
        <v>6000000</v>
      </c>
      <c r="K16" s="43">
        <v>5897000000</v>
      </c>
      <c r="L16" s="52">
        <f t="shared" si="2"/>
        <v>0.4184008762322015</v>
      </c>
      <c r="M16" s="38">
        <f t="shared" si="3"/>
        <v>0</v>
      </c>
      <c r="N16" s="38">
        <f t="shared" si="4"/>
        <v>0.4192794082557862</v>
      </c>
      <c r="O16" s="52">
        <f t="shared" si="5"/>
        <v>0.5622172484404019</v>
      </c>
      <c r="P16" s="38">
        <f t="shared" si="5"/>
        <v>0.2727272727272727</v>
      </c>
      <c r="Q16" s="38">
        <f t="shared" si="5"/>
        <v>0.5628251014077785</v>
      </c>
      <c r="R16" s="66">
        <f>I16-'04'!I15</f>
        <v>622139976</v>
      </c>
      <c r="S16" s="46">
        <f>F16-'04'!F15</f>
        <v>177797717</v>
      </c>
      <c r="T16" s="46">
        <f>I16-'04'!I15</f>
        <v>622139976</v>
      </c>
      <c r="U16" s="46">
        <f t="shared" si="8"/>
        <v>1504000000</v>
      </c>
    </row>
    <row r="17" spans="1:21" s="45" customFormat="1" ht="24.75" customHeight="1">
      <c r="A17" s="41">
        <v>5</v>
      </c>
      <c r="B17" s="42" t="s">
        <v>115</v>
      </c>
      <c r="C17" s="43">
        <f t="shared" si="9"/>
        <v>11427099334</v>
      </c>
      <c r="D17" s="43">
        <v>22000000</v>
      </c>
      <c r="E17" s="43">
        <v>11405099334</v>
      </c>
      <c r="F17" s="43">
        <f t="shared" si="6"/>
        <v>6521399334</v>
      </c>
      <c r="G17" s="43"/>
      <c r="H17" s="43">
        <v>6521399334</v>
      </c>
      <c r="I17" s="43">
        <f t="shared" si="7"/>
        <v>6979399334</v>
      </c>
      <c r="J17" s="43">
        <v>8000000</v>
      </c>
      <c r="K17" s="43">
        <v>6971399334</v>
      </c>
      <c r="L17" s="52">
        <f t="shared" si="2"/>
        <v>0.5706959520861377</v>
      </c>
      <c r="M17" s="38">
        <f t="shared" si="3"/>
        <v>0</v>
      </c>
      <c r="N17" s="38">
        <f t="shared" si="4"/>
        <v>0.5717968027300655</v>
      </c>
      <c r="O17" s="52">
        <f t="shared" si="5"/>
        <v>0.6107761147427512</v>
      </c>
      <c r="P17" s="38">
        <f t="shared" si="5"/>
        <v>0.36363636363636365</v>
      </c>
      <c r="Q17" s="38">
        <f t="shared" si="5"/>
        <v>0.6112528378615172</v>
      </c>
      <c r="R17" s="66">
        <f>I17-'04'!I16</f>
        <v>892524983</v>
      </c>
      <c r="S17" s="46">
        <f>F17-'04'!F16</f>
        <v>1260343803</v>
      </c>
      <c r="T17" s="46">
        <f>I17-'04'!I16</f>
        <v>892524983</v>
      </c>
      <c r="U17" s="46">
        <f t="shared" si="8"/>
        <v>450000000</v>
      </c>
    </row>
    <row r="18" spans="1:21" s="45" customFormat="1" ht="24.75" customHeight="1">
      <c r="A18" s="41">
        <v>6</v>
      </c>
      <c r="B18" s="42" t="s">
        <v>116</v>
      </c>
      <c r="C18" s="43">
        <f t="shared" si="9"/>
        <v>11965234152</v>
      </c>
      <c r="D18" s="43">
        <v>22000000</v>
      </c>
      <c r="E18" s="43">
        <v>11943234152</v>
      </c>
      <c r="F18" s="43">
        <f t="shared" si="6"/>
        <v>6227408152</v>
      </c>
      <c r="G18" s="43">
        <v>5174000</v>
      </c>
      <c r="H18" s="43">
        <v>6222234152</v>
      </c>
      <c r="I18" s="43">
        <f t="shared" si="7"/>
        <v>7128234152</v>
      </c>
      <c r="J18" s="43">
        <v>6000000</v>
      </c>
      <c r="K18" s="43">
        <f>6222234152+900000000</f>
        <v>7122234152</v>
      </c>
      <c r="L18" s="52">
        <f t="shared" si="2"/>
        <v>0.5204585278390965</v>
      </c>
      <c r="M18" s="38">
        <f t="shared" si="3"/>
        <v>0.2351818181818182</v>
      </c>
      <c r="N18" s="38">
        <f t="shared" si="4"/>
        <v>0.5209840209787758</v>
      </c>
      <c r="O18" s="52">
        <f t="shared" si="5"/>
        <v>0.5957454790643197</v>
      </c>
      <c r="P18" s="38">
        <f t="shared" si="5"/>
        <v>0.2727272727272727</v>
      </c>
      <c r="Q18" s="38">
        <f t="shared" si="5"/>
        <v>0.5963404938190313</v>
      </c>
      <c r="R18" s="66">
        <f>I18-'04'!I17</f>
        <v>1034178754</v>
      </c>
      <c r="S18" s="46">
        <f>F18-'04'!F17</f>
        <v>1706921129</v>
      </c>
      <c r="T18" s="46">
        <f>I18-'04'!I17</f>
        <v>1034178754</v>
      </c>
      <c r="U18" s="46">
        <f t="shared" si="8"/>
        <v>900000000</v>
      </c>
    </row>
    <row r="19" spans="1:21" s="45" customFormat="1" ht="24.75" customHeight="1">
      <c r="A19" s="41">
        <v>7</v>
      </c>
      <c r="B19" s="42" t="s">
        <v>117</v>
      </c>
      <c r="C19" s="43">
        <f t="shared" si="9"/>
        <v>12482600000</v>
      </c>
      <c r="D19" s="43">
        <v>27000000</v>
      </c>
      <c r="E19" s="43">
        <v>12455600000</v>
      </c>
      <c r="F19" s="43">
        <f t="shared" si="6"/>
        <v>5220810000</v>
      </c>
      <c r="G19" s="43">
        <v>6810000</v>
      </c>
      <c r="H19" s="43">
        <v>5214000000</v>
      </c>
      <c r="I19" s="43">
        <f t="shared" si="7"/>
        <v>6207310000</v>
      </c>
      <c r="J19" s="43">
        <v>7310000</v>
      </c>
      <c r="K19" s="43">
        <v>6200000000</v>
      </c>
      <c r="L19" s="52">
        <f t="shared" si="2"/>
        <v>0.4182469998237547</v>
      </c>
      <c r="M19" s="38">
        <f t="shared" si="3"/>
        <v>0.25222222222222224</v>
      </c>
      <c r="N19" s="38">
        <f t="shared" si="4"/>
        <v>0.4186068916792447</v>
      </c>
      <c r="O19" s="52">
        <f t="shared" si="5"/>
        <v>0.49727700959735954</v>
      </c>
      <c r="P19" s="38">
        <f t="shared" si="5"/>
        <v>0.2707407407407407</v>
      </c>
      <c r="Q19" s="38">
        <f t="shared" si="5"/>
        <v>0.4977680721924275</v>
      </c>
      <c r="R19" s="66">
        <f>I19-'04'!I18</f>
        <v>707310000</v>
      </c>
      <c r="S19" s="46">
        <f>F19-'04'!F18</f>
        <v>1374060000</v>
      </c>
      <c r="T19" s="46">
        <f>I19-'04'!I18</f>
        <v>707310000</v>
      </c>
      <c r="U19" s="46">
        <f t="shared" si="8"/>
        <v>986000000</v>
      </c>
    </row>
    <row r="20" spans="1:21" s="47" customFormat="1" ht="24.75" customHeight="1">
      <c r="A20" s="41">
        <v>8</v>
      </c>
      <c r="B20" s="42" t="s">
        <v>118</v>
      </c>
      <c r="C20" s="43">
        <f t="shared" si="9"/>
        <v>8455700000</v>
      </c>
      <c r="D20" s="43">
        <v>50000000</v>
      </c>
      <c r="E20" s="43">
        <v>8405700000</v>
      </c>
      <c r="F20" s="43">
        <f t="shared" si="6"/>
        <v>4965350000</v>
      </c>
      <c r="G20" s="43">
        <v>16350000</v>
      </c>
      <c r="H20" s="43">
        <f>4349000000+600000000</f>
        <v>4949000000</v>
      </c>
      <c r="I20" s="43">
        <f>J20+K20</f>
        <v>5793890196</v>
      </c>
      <c r="J20" s="43">
        <v>19310000</v>
      </c>
      <c r="K20" s="43">
        <f>5074580196+700000000</f>
        <v>5774580196</v>
      </c>
      <c r="L20" s="52">
        <f t="shared" si="2"/>
        <v>0.5872192722069137</v>
      </c>
      <c r="M20" s="38">
        <f t="shared" si="3"/>
        <v>0.327</v>
      </c>
      <c r="N20" s="38">
        <f t="shared" si="4"/>
        <v>0.5887671461032394</v>
      </c>
      <c r="O20" s="52">
        <f t="shared" si="5"/>
        <v>0.685205269344939</v>
      </c>
      <c r="P20" s="38">
        <f t="shared" si="5"/>
        <v>0.3862</v>
      </c>
      <c r="Q20" s="38">
        <f t="shared" si="5"/>
        <v>0.686983855716954</v>
      </c>
      <c r="R20" s="66">
        <f>I20-'04'!I19</f>
        <v>1994541765</v>
      </c>
      <c r="S20" s="46">
        <f>F20-'04'!F19</f>
        <v>1879897399</v>
      </c>
      <c r="T20" s="46">
        <f>I20-'04'!I19</f>
        <v>1994541765</v>
      </c>
      <c r="U20" s="46">
        <f t="shared" si="8"/>
        <v>825580196</v>
      </c>
    </row>
    <row r="21" spans="1:21" s="45" customFormat="1" ht="24.75" customHeight="1">
      <c r="A21" s="41">
        <v>9</v>
      </c>
      <c r="B21" s="42" t="s">
        <v>119</v>
      </c>
      <c r="C21" s="43">
        <f t="shared" si="9"/>
        <v>10371100000</v>
      </c>
      <c r="D21" s="43">
        <v>22000000</v>
      </c>
      <c r="E21" s="43">
        <v>10349100000</v>
      </c>
      <c r="F21" s="43">
        <f t="shared" si="6"/>
        <v>4802750000</v>
      </c>
      <c r="G21" s="43">
        <v>3750000</v>
      </c>
      <c r="H21" s="43">
        <v>4799000000</v>
      </c>
      <c r="I21" s="43">
        <f t="shared" si="7"/>
        <v>5404000000</v>
      </c>
      <c r="J21" s="43">
        <v>5000000</v>
      </c>
      <c r="K21" s="43">
        <v>5399000000</v>
      </c>
      <c r="L21" s="52">
        <f t="shared" si="2"/>
        <v>0.46308973975759565</v>
      </c>
      <c r="M21" s="38">
        <f t="shared" si="3"/>
        <v>0.17045454545454544</v>
      </c>
      <c r="N21" s="38">
        <f t="shared" si="4"/>
        <v>0.46371182035152814</v>
      </c>
      <c r="O21" s="52">
        <f t="shared" si="5"/>
        <v>0.5210633394721871</v>
      </c>
      <c r="P21" s="38">
        <f t="shared" si="5"/>
        <v>0.22727272727272727</v>
      </c>
      <c r="Q21" s="38">
        <f t="shared" si="5"/>
        <v>0.521687876240446</v>
      </c>
      <c r="R21" s="66">
        <f>I21-'04'!I20</f>
        <v>257935200</v>
      </c>
      <c r="S21" s="46">
        <f>F21-'04'!F20</f>
        <v>594119480</v>
      </c>
      <c r="T21" s="46">
        <f>I21-'04'!I20</f>
        <v>257935200</v>
      </c>
      <c r="U21" s="46">
        <f t="shared" si="8"/>
        <v>600000000</v>
      </c>
    </row>
    <row r="22" spans="1:21" s="45" customFormat="1" ht="24.75" customHeight="1">
      <c r="A22" s="41">
        <v>10</v>
      </c>
      <c r="B22" s="42" t="s">
        <v>120</v>
      </c>
      <c r="C22" s="43">
        <f t="shared" si="9"/>
        <v>8628604972</v>
      </c>
      <c r="D22" s="43">
        <v>20000000</v>
      </c>
      <c r="E22" s="43">
        <v>8608604972</v>
      </c>
      <c r="F22" s="43">
        <f t="shared" si="6"/>
        <v>3747704972</v>
      </c>
      <c r="G22" s="43">
        <v>5800000</v>
      </c>
      <c r="H22" s="43">
        <v>3741904972</v>
      </c>
      <c r="I22" s="43">
        <f t="shared" si="7"/>
        <v>4551446272</v>
      </c>
      <c r="J22" s="43">
        <v>11200000</v>
      </c>
      <c r="K22" s="43">
        <v>4540246272</v>
      </c>
      <c r="L22" s="52">
        <f t="shared" si="2"/>
        <v>0.43433498047035174</v>
      </c>
      <c r="M22" s="38">
        <f t="shared" si="3"/>
        <v>0.29</v>
      </c>
      <c r="N22" s="38">
        <f t="shared" si="4"/>
        <v>0.4346703076945415</v>
      </c>
      <c r="O22" s="52">
        <f t="shared" si="5"/>
        <v>0.5274834445161803</v>
      </c>
      <c r="P22" s="38">
        <f t="shared" si="5"/>
        <v>0.56</v>
      </c>
      <c r="Q22" s="38">
        <f t="shared" si="5"/>
        <v>0.52740790020769</v>
      </c>
      <c r="R22" s="66">
        <f>I22-'04'!I21</f>
        <v>434392600</v>
      </c>
      <c r="S22" s="46">
        <f>F22-'04'!F21</f>
        <v>190332072</v>
      </c>
      <c r="T22" s="46">
        <f>I22-'04'!I21</f>
        <v>434392600</v>
      </c>
      <c r="U22" s="46">
        <f t="shared" si="8"/>
        <v>798341300</v>
      </c>
    </row>
    <row r="23" spans="1:21" s="45" customFormat="1" ht="24.75" customHeight="1">
      <c r="A23" s="41">
        <v>11</v>
      </c>
      <c r="B23" s="42" t="s">
        <v>121</v>
      </c>
      <c r="C23" s="43">
        <f t="shared" si="9"/>
        <v>10077169785</v>
      </c>
      <c r="D23" s="43">
        <v>20000000</v>
      </c>
      <c r="E23" s="43">
        <v>10057169785</v>
      </c>
      <c r="F23" s="43">
        <f t="shared" si="6"/>
        <v>5413113785</v>
      </c>
      <c r="G23" s="43"/>
      <c r="H23" s="43">
        <v>5413113785</v>
      </c>
      <c r="I23" s="43">
        <f t="shared" si="7"/>
        <v>6817013785</v>
      </c>
      <c r="J23" s="43">
        <v>3900000</v>
      </c>
      <c r="K23" s="43">
        <f>6513113785+300000000</f>
        <v>6813113785</v>
      </c>
      <c r="L23" s="52">
        <f t="shared" si="2"/>
        <v>0.5371660794142311</v>
      </c>
      <c r="M23" s="38">
        <f t="shared" si="3"/>
        <v>0</v>
      </c>
      <c r="N23" s="38">
        <f t="shared" si="4"/>
        <v>0.5382343045529085</v>
      </c>
      <c r="O23" s="52">
        <f t="shared" si="5"/>
        <v>0.6764809892502968</v>
      </c>
      <c r="P23" s="38">
        <f t="shared" si="5"/>
        <v>0.195</v>
      </c>
      <c r="Q23" s="38">
        <f t="shared" si="5"/>
        <v>0.6774384772902589</v>
      </c>
      <c r="R23" s="66">
        <f>I23-'04'!I22</f>
        <v>525363691</v>
      </c>
      <c r="S23" s="46">
        <f>F23-'04'!F22</f>
        <v>536457820</v>
      </c>
      <c r="T23" s="46">
        <f>I23-'04'!I22</f>
        <v>525363691</v>
      </c>
      <c r="U23" s="46">
        <f t="shared" si="8"/>
        <v>1400000000</v>
      </c>
    </row>
    <row r="24" spans="1:21" s="45" customFormat="1" ht="24.75" customHeight="1">
      <c r="A24" s="41">
        <v>12</v>
      </c>
      <c r="B24" s="42" t="s">
        <v>122</v>
      </c>
      <c r="C24" s="43">
        <f t="shared" si="9"/>
        <v>19218200000</v>
      </c>
      <c r="D24" s="43">
        <v>25000000</v>
      </c>
      <c r="E24" s="43">
        <v>19193200000</v>
      </c>
      <c r="F24" s="43">
        <f t="shared" si="6"/>
        <v>10000000000</v>
      </c>
      <c r="G24" s="43"/>
      <c r="H24" s="43">
        <v>10000000000</v>
      </c>
      <c r="I24" s="43">
        <f t="shared" si="7"/>
        <v>11936500000</v>
      </c>
      <c r="J24" s="43">
        <v>6500000</v>
      </c>
      <c r="K24" s="43">
        <v>11930000000</v>
      </c>
      <c r="L24" s="52">
        <f t="shared" si="2"/>
        <v>0.5203400942856251</v>
      </c>
      <c r="M24" s="38">
        <f t="shared" si="3"/>
        <v>0</v>
      </c>
      <c r="N24" s="38">
        <f t="shared" si="4"/>
        <v>0.5210178604922576</v>
      </c>
      <c r="O24" s="52">
        <f t="shared" si="5"/>
        <v>0.6211039535440364</v>
      </c>
      <c r="P24" s="38">
        <f t="shared" si="5"/>
        <v>0.26</v>
      </c>
      <c r="Q24" s="38">
        <f t="shared" si="5"/>
        <v>0.6215743075672634</v>
      </c>
      <c r="R24" s="66">
        <f>I24-'04'!I23</f>
        <v>5282183268</v>
      </c>
      <c r="S24" s="46">
        <f>F24-'04'!F23</f>
        <v>4915240168</v>
      </c>
      <c r="T24" s="46">
        <f>I24-'04'!I23</f>
        <v>5282183268</v>
      </c>
      <c r="U24" s="46">
        <f t="shared" si="8"/>
        <v>1930000000</v>
      </c>
    </row>
    <row r="25" spans="1:18" s="39" customFormat="1" ht="24.75" customHeight="1" hidden="1">
      <c r="A25" s="48" t="s">
        <v>15</v>
      </c>
      <c r="B25" s="49" t="s">
        <v>140</v>
      </c>
      <c r="C25" s="37">
        <f>D25+E25</f>
        <v>0</v>
      </c>
      <c r="D25" s="37"/>
      <c r="E25" s="50"/>
      <c r="F25" s="43">
        <f>G25+H25</f>
        <v>0</v>
      </c>
      <c r="G25" s="51"/>
      <c r="H25" s="50"/>
      <c r="I25" s="43">
        <f>J25+K25</f>
        <v>0</v>
      </c>
      <c r="J25" s="51"/>
      <c r="K25" s="50"/>
      <c r="L25" s="50"/>
      <c r="M25" s="50"/>
      <c r="N25" s="50"/>
      <c r="O25" s="52"/>
      <c r="P25" s="52"/>
      <c r="Q25" s="37"/>
      <c r="R25" s="66">
        <f>I25-'04'!I24</f>
        <v>0</v>
      </c>
    </row>
    <row r="26" spans="1:18" ht="22.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55"/>
    </row>
    <row r="27" spans="1:18" ht="18.75">
      <c r="A27" s="30"/>
      <c r="B27" s="30"/>
      <c r="C27" s="30"/>
      <c r="D27" s="30"/>
      <c r="E27" s="30"/>
      <c r="F27" s="30"/>
      <c r="G27" s="53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55"/>
    </row>
    <row r="28" spans="1:18" ht="18.75">
      <c r="A28" s="30"/>
      <c r="B28" s="30"/>
      <c r="C28" s="3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55"/>
    </row>
    <row r="29" spans="1:18" ht="18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55"/>
    </row>
    <row r="30" spans="1:18" ht="18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55"/>
    </row>
  </sheetData>
  <sheetProtection/>
  <mergeCells count="31">
    <mergeCell ref="A1:Q1"/>
    <mergeCell ref="A2:Q2"/>
    <mergeCell ref="A3:Q3"/>
    <mergeCell ref="A4:Q4"/>
    <mergeCell ref="A5:A9"/>
    <mergeCell ref="O5:Q5"/>
    <mergeCell ref="B5:B9"/>
    <mergeCell ref="K7:K9"/>
    <mergeCell ref="F5:H5"/>
    <mergeCell ref="M7:M9"/>
    <mergeCell ref="C6:C9"/>
    <mergeCell ref="N7:N9"/>
    <mergeCell ref="E7:E9"/>
    <mergeCell ref="D7:D9"/>
    <mergeCell ref="G6:H6"/>
    <mergeCell ref="P6:Q6"/>
    <mergeCell ref="J6:K6"/>
    <mergeCell ref="M6:N6"/>
    <mergeCell ref="J7:J9"/>
    <mergeCell ref="C5:E5"/>
    <mergeCell ref="I5:K5"/>
    <mergeCell ref="Q7:Q9"/>
    <mergeCell ref="D6:E6"/>
    <mergeCell ref="P7:P9"/>
    <mergeCell ref="F6:F9"/>
    <mergeCell ref="O6:O9"/>
    <mergeCell ref="G7:G9"/>
    <mergeCell ref="L6:L9"/>
    <mergeCell ref="I6:I9"/>
    <mergeCell ref="L5:N5"/>
    <mergeCell ref="H7:H9"/>
  </mergeCells>
  <printOptions/>
  <pageMargins left="0.984251968503937" right="0.39" top="0.5118110236220472" bottom="0.5118110236220472" header="0.5118110236220472" footer="0.5118110236220472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G13">
      <selection activeCell="Y8" sqref="Y8"/>
    </sheetView>
  </sheetViews>
  <sheetFormatPr defaultColWidth="7.99609375" defaultRowHeight="16.5"/>
  <cols>
    <col min="1" max="1" width="5.99609375" style="1" customWidth="1"/>
    <col min="2" max="2" width="21.10546875" style="1" customWidth="1"/>
    <col min="3" max="11" width="11.4453125" style="1" customWidth="1"/>
    <col min="12" max="12" width="7.6640625" style="1" customWidth="1"/>
    <col min="13" max="14" width="6.88671875" style="1" customWidth="1"/>
    <col min="15" max="16" width="6.4453125" style="1" customWidth="1"/>
    <col min="17" max="17" width="6.6640625" style="1" customWidth="1"/>
    <col min="18" max="18" width="12.5546875" style="1" hidden="1" customWidth="1"/>
    <col min="19" max="19" width="12.3359375" style="1" hidden="1" customWidth="1"/>
    <col min="20" max="20" width="13.10546875" style="1" hidden="1" customWidth="1"/>
    <col min="21" max="16384" width="7.99609375" style="1" customWidth="1"/>
  </cols>
  <sheetData>
    <row r="1" spans="1:17" ht="21" customHeight="1">
      <c r="A1" s="299" t="s">
        <v>141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</row>
    <row r="2" spans="1:17" ht="21" customHeight="1">
      <c r="A2" s="300" t="s">
        <v>142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21" customHeight="1">
      <c r="A3" s="298" t="s">
        <v>135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17" ht="19.5" customHeight="1">
      <c r="A4" s="301" t="s">
        <v>72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</row>
    <row r="5" spans="1:17" s="2" customFormat="1" ht="35.25" customHeight="1">
      <c r="A5" s="287" t="s">
        <v>7</v>
      </c>
      <c r="B5" s="287" t="s">
        <v>107</v>
      </c>
      <c r="C5" s="287" t="s">
        <v>138</v>
      </c>
      <c r="D5" s="287"/>
      <c r="E5" s="287"/>
      <c r="F5" s="287" t="s">
        <v>139</v>
      </c>
      <c r="G5" s="287"/>
      <c r="H5" s="287"/>
      <c r="I5" s="287" t="s">
        <v>123</v>
      </c>
      <c r="J5" s="287"/>
      <c r="K5" s="287"/>
      <c r="L5" s="287" t="s">
        <v>150</v>
      </c>
      <c r="M5" s="287"/>
      <c r="N5" s="287"/>
      <c r="O5" s="287" t="s">
        <v>151</v>
      </c>
      <c r="P5" s="287"/>
      <c r="Q5" s="287"/>
    </row>
    <row r="6" spans="1:17" s="2" customFormat="1" ht="19.5" customHeight="1">
      <c r="A6" s="287"/>
      <c r="B6" s="287"/>
      <c r="C6" s="287" t="s">
        <v>108</v>
      </c>
      <c r="D6" s="287" t="s">
        <v>109</v>
      </c>
      <c r="E6" s="287"/>
      <c r="F6" s="287" t="s">
        <v>108</v>
      </c>
      <c r="G6" s="287" t="s">
        <v>109</v>
      </c>
      <c r="H6" s="287"/>
      <c r="I6" s="287" t="s">
        <v>108</v>
      </c>
      <c r="J6" s="287" t="s">
        <v>109</v>
      </c>
      <c r="K6" s="287"/>
      <c r="L6" s="287" t="s">
        <v>108</v>
      </c>
      <c r="M6" s="287" t="s">
        <v>109</v>
      </c>
      <c r="N6" s="287"/>
      <c r="O6" s="287" t="s">
        <v>108</v>
      </c>
      <c r="P6" s="287" t="s">
        <v>109</v>
      </c>
      <c r="Q6" s="287"/>
    </row>
    <row r="7" spans="1:17" s="2" customFormat="1" ht="23.25" customHeight="1">
      <c r="A7" s="287"/>
      <c r="B7" s="287"/>
      <c r="C7" s="287"/>
      <c r="D7" s="287" t="s">
        <v>128</v>
      </c>
      <c r="E7" s="287" t="s">
        <v>129</v>
      </c>
      <c r="F7" s="287"/>
      <c r="G7" s="309" t="s">
        <v>128</v>
      </c>
      <c r="H7" s="309" t="s">
        <v>129</v>
      </c>
      <c r="I7" s="287"/>
      <c r="J7" s="309" t="s">
        <v>128</v>
      </c>
      <c r="K7" s="309" t="s">
        <v>129</v>
      </c>
      <c r="L7" s="287"/>
      <c r="M7" s="309" t="s">
        <v>128</v>
      </c>
      <c r="N7" s="309" t="s">
        <v>129</v>
      </c>
      <c r="O7" s="287"/>
      <c r="P7" s="309" t="s">
        <v>128</v>
      </c>
      <c r="Q7" s="309" t="s">
        <v>129</v>
      </c>
    </row>
    <row r="8" spans="1:17" s="2" customFormat="1" ht="32.25" customHeight="1">
      <c r="A8" s="287"/>
      <c r="B8" s="287"/>
      <c r="C8" s="287"/>
      <c r="D8" s="287"/>
      <c r="E8" s="287"/>
      <c r="F8" s="287"/>
      <c r="G8" s="309"/>
      <c r="H8" s="309"/>
      <c r="I8" s="287"/>
      <c r="J8" s="309"/>
      <c r="K8" s="309"/>
      <c r="L8" s="287"/>
      <c r="M8" s="309"/>
      <c r="N8" s="309"/>
      <c r="O8" s="287"/>
      <c r="P8" s="309"/>
      <c r="Q8" s="309"/>
    </row>
    <row r="9" spans="1:18" s="2" customFormat="1" ht="39.75" customHeight="1">
      <c r="A9" s="287"/>
      <c r="B9" s="287"/>
      <c r="C9" s="287"/>
      <c r="D9" s="287"/>
      <c r="E9" s="287"/>
      <c r="F9" s="287"/>
      <c r="G9" s="309"/>
      <c r="H9" s="309"/>
      <c r="I9" s="287"/>
      <c r="J9" s="309"/>
      <c r="K9" s="309"/>
      <c r="L9" s="287"/>
      <c r="M9" s="309"/>
      <c r="N9" s="309"/>
      <c r="O9" s="287"/>
      <c r="P9" s="309"/>
      <c r="Q9" s="309"/>
      <c r="R9" s="57"/>
    </row>
    <row r="10" spans="1:17" s="29" customFormat="1" ht="20.25" customHeight="1">
      <c r="A10" s="28" t="s">
        <v>10</v>
      </c>
      <c r="B10" s="28" t="s">
        <v>11</v>
      </c>
      <c r="C10" s="28">
        <v>1</v>
      </c>
      <c r="D10" s="28">
        <v>2</v>
      </c>
      <c r="E10" s="28">
        <v>3</v>
      </c>
      <c r="F10" s="28">
        <v>4</v>
      </c>
      <c r="G10" s="28">
        <v>5</v>
      </c>
      <c r="H10" s="28">
        <v>6</v>
      </c>
      <c r="I10" s="28">
        <v>7</v>
      </c>
      <c r="J10" s="28">
        <v>8</v>
      </c>
      <c r="K10" s="28">
        <v>9</v>
      </c>
      <c r="L10" s="28" t="s">
        <v>144</v>
      </c>
      <c r="M10" s="28" t="s">
        <v>145</v>
      </c>
      <c r="N10" s="28" t="s">
        <v>146</v>
      </c>
      <c r="O10" s="28" t="s">
        <v>147</v>
      </c>
      <c r="P10" s="28" t="s">
        <v>148</v>
      </c>
      <c r="Q10" s="28" t="s">
        <v>149</v>
      </c>
    </row>
    <row r="11" spans="1:20" s="39" customFormat="1" ht="24.75" customHeight="1">
      <c r="A11" s="36"/>
      <c r="B11" s="36" t="s">
        <v>108</v>
      </c>
      <c r="C11" s="37">
        <f>SUM(C12:C23)</f>
        <v>134755685921</v>
      </c>
      <c r="D11" s="37">
        <f aca="true" t="shared" si="0" ref="D11:K11">SUM(D12:D23)</f>
        <v>68482400000</v>
      </c>
      <c r="E11" s="37">
        <f t="shared" si="0"/>
        <v>66273285921</v>
      </c>
      <c r="F11" s="37">
        <f t="shared" si="0"/>
        <v>53295702511</v>
      </c>
      <c r="G11" s="37">
        <f t="shared" si="0"/>
        <v>25039917636</v>
      </c>
      <c r="H11" s="37">
        <f t="shared" si="0"/>
        <v>28255784875</v>
      </c>
      <c r="I11" s="37">
        <f t="shared" si="0"/>
        <v>67811509024</v>
      </c>
      <c r="J11" s="37">
        <f t="shared" si="0"/>
        <v>32374311356</v>
      </c>
      <c r="K11" s="37">
        <f t="shared" si="0"/>
        <v>35437197668</v>
      </c>
      <c r="L11" s="52">
        <f>F11/C11</f>
        <v>0.3954987290276152</v>
      </c>
      <c r="M11" s="52">
        <f>G11/D11</f>
        <v>0.36564018836956647</v>
      </c>
      <c r="N11" s="52">
        <f>H11/E11</f>
        <v>0.42635255642344116</v>
      </c>
      <c r="O11" s="52">
        <f>I11/C11</f>
        <v>0.5032181652338903</v>
      </c>
      <c r="P11" s="52">
        <f aca="true" t="shared" si="1" ref="O11:Q23">J11/D11</f>
        <v>0.4727391469341028</v>
      </c>
      <c r="Q11" s="52">
        <f t="shared" si="1"/>
        <v>0.534713152902096</v>
      </c>
      <c r="R11" s="54">
        <f>SUM(R12:R23)</f>
        <v>7334393720</v>
      </c>
      <c r="S11" s="54">
        <f>SUM(S12:S23)</f>
        <v>7181412793</v>
      </c>
      <c r="T11" s="46">
        <f>I12-F12</f>
        <v>546979113</v>
      </c>
    </row>
    <row r="12" spans="1:20" s="45" customFormat="1" ht="24.75" customHeight="1">
      <c r="A12" s="41">
        <v>1</v>
      </c>
      <c r="B12" s="42" t="s">
        <v>111</v>
      </c>
      <c r="C12" s="37">
        <f>D12+E12</f>
        <v>6588000000</v>
      </c>
      <c r="D12" s="43">
        <v>6354000000</v>
      </c>
      <c r="E12" s="43">
        <f>234000000</f>
        <v>234000000</v>
      </c>
      <c r="F12" s="37">
        <f>G12+H12</f>
        <v>3453020887</v>
      </c>
      <c r="G12" s="43">
        <v>3453020887</v>
      </c>
      <c r="H12" s="43"/>
      <c r="I12" s="37">
        <f>J12+K12</f>
        <v>4000000000</v>
      </c>
      <c r="J12" s="43">
        <v>4000000000</v>
      </c>
      <c r="K12" s="43"/>
      <c r="L12" s="52">
        <f aca="true" t="shared" si="2" ref="L12:L23">F12/C12</f>
        <v>0.5241379609896782</v>
      </c>
      <c r="M12" s="38">
        <f aca="true" t="shared" si="3" ref="M12:M23">G12/D12</f>
        <v>0.5434404921309411</v>
      </c>
      <c r="N12" s="38">
        <f aca="true" t="shared" si="4" ref="N12:N23">H12/E12</f>
        <v>0</v>
      </c>
      <c r="O12" s="52">
        <f t="shared" si="1"/>
        <v>0.607164541590771</v>
      </c>
      <c r="P12" s="38">
        <f t="shared" si="1"/>
        <v>0.6295247088448221</v>
      </c>
      <c r="Q12" s="38">
        <f t="shared" si="1"/>
        <v>0</v>
      </c>
      <c r="R12" s="54">
        <f>J12-G12</f>
        <v>546979113</v>
      </c>
      <c r="S12" s="46">
        <f>K12-H12</f>
        <v>0</v>
      </c>
      <c r="T12" s="46">
        <f aca="true" t="shared" si="5" ref="T12:T23">I13-F13</f>
        <v>1592725595</v>
      </c>
    </row>
    <row r="13" spans="1:20" s="45" customFormat="1" ht="24.75" customHeight="1">
      <c r="A13" s="41">
        <v>2</v>
      </c>
      <c r="B13" s="42" t="s">
        <v>112</v>
      </c>
      <c r="C13" s="37">
        <f aca="true" t="shared" si="6" ref="C13:C23">D13+E13</f>
        <v>10074977678</v>
      </c>
      <c r="D13" s="43">
        <f>7255900000</f>
        <v>7255900000</v>
      </c>
      <c r="E13" s="43">
        <f>2819077678</f>
        <v>2819077678</v>
      </c>
      <c r="F13" s="37">
        <f>G13+H13</f>
        <v>3662039975</v>
      </c>
      <c r="G13" s="43">
        <f>1842274405+200000000</f>
        <v>2042274405</v>
      </c>
      <c r="H13" s="43">
        <v>1619765570</v>
      </c>
      <c r="I13" s="37">
        <f aca="true" t="shared" si="7" ref="I13:I23">J13+K13</f>
        <v>5254765570</v>
      </c>
      <c r="J13" s="43">
        <v>3000000000</v>
      </c>
      <c r="K13" s="43">
        <v>2254765570</v>
      </c>
      <c r="L13" s="52">
        <f>F13/C13</f>
        <v>0.36347871846868024</v>
      </c>
      <c r="M13" s="38">
        <f t="shared" si="3"/>
        <v>0.2814639679433289</v>
      </c>
      <c r="N13" s="38">
        <f t="shared" si="4"/>
        <v>0.5745728763136267</v>
      </c>
      <c r="O13" s="52">
        <f t="shared" si="1"/>
        <v>0.5215659764164492</v>
      </c>
      <c r="P13" s="38">
        <f t="shared" si="1"/>
        <v>0.413456635289902</v>
      </c>
      <c r="Q13" s="38">
        <f>K13/E13</f>
        <v>0.7998238528849789</v>
      </c>
      <c r="R13" s="46">
        <f aca="true" t="shared" si="8" ref="R13:R23">J13-G13</f>
        <v>957725595</v>
      </c>
      <c r="S13" s="46">
        <f aca="true" t="shared" si="9" ref="S13:S22">K13-H13</f>
        <v>635000000</v>
      </c>
      <c r="T13" s="46">
        <f t="shared" si="5"/>
        <v>2062244958</v>
      </c>
    </row>
    <row r="14" spans="1:20" s="45" customFormat="1" ht="24.75" customHeight="1">
      <c r="A14" s="41">
        <v>3</v>
      </c>
      <c r="B14" s="42" t="s">
        <v>113</v>
      </c>
      <c r="C14" s="37">
        <f t="shared" si="6"/>
        <v>14967500000</v>
      </c>
      <c r="D14" s="43">
        <v>6881500000</v>
      </c>
      <c r="E14" s="43">
        <f>8086000000</f>
        <v>8086000000</v>
      </c>
      <c r="F14" s="37">
        <f aca="true" t="shared" si="10" ref="F14:F23">G14+H14</f>
        <v>7524274994</v>
      </c>
      <c r="G14" s="43">
        <f>2013534994+400000000</f>
        <v>2413534994</v>
      </c>
      <c r="H14" s="43">
        <v>5110740000</v>
      </c>
      <c r="I14" s="37">
        <f t="shared" si="7"/>
        <v>9586519952</v>
      </c>
      <c r="J14" s="43">
        <v>3243610952</v>
      </c>
      <c r="K14" s="43">
        <v>6342909000</v>
      </c>
      <c r="L14" s="52">
        <f t="shared" si="2"/>
        <v>0.5027075325872724</v>
      </c>
      <c r="M14" s="38">
        <f t="shared" si="3"/>
        <v>0.35072803807309455</v>
      </c>
      <c r="N14" s="38">
        <f t="shared" si="4"/>
        <v>0.6320479841701707</v>
      </c>
      <c r="O14" s="52">
        <f t="shared" si="1"/>
        <v>0.6404890564222482</v>
      </c>
      <c r="P14" s="38">
        <f t="shared" si="1"/>
        <v>0.47135231446632275</v>
      </c>
      <c r="Q14" s="38">
        <f>K14/E14</f>
        <v>0.7844309918377442</v>
      </c>
      <c r="R14" s="46">
        <f>J14-G14</f>
        <v>830075958</v>
      </c>
      <c r="S14" s="46">
        <f t="shared" si="9"/>
        <v>1232169000</v>
      </c>
      <c r="T14" s="46">
        <f t="shared" si="5"/>
        <v>1065657741</v>
      </c>
    </row>
    <row r="15" spans="1:20" s="45" customFormat="1" ht="24.75" customHeight="1">
      <c r="A15" s="41">
        <v>4</v>
      </c>
      <c r="B15" s="42" t="s">
        <v>114</v>
      </c>
      <c r="C15" s="37">
        <f t="shared" si="6"/>
        <v>10499500000</v>
      </c>
      <c r="D15" s="43">
        <v>5614500000</v>
      </c>
      <c r="E15" s="43">
        <f>4885000000</f>
        <v>4885000000</v>
      </c>
      <c r="F15" s="37">
        <f t="shared" si="10"/>
        <v>4215202283</v>
      </c>
      <c r="G15" s="43">
        <f>2227404283+200000000</f>
        <v>2427404283</v>
      </c>
      <c r="H15" s="43">
        <v>1787798000</v>
      </c>
      <c r="I15" s="37">
        <f t="shared" si="7"/>
        <v>5280860024</v>
      </c>
      <c r="J15" s="43">
        <v>3227404283</v>
      </c>
      <c r="K15" s="43">
        <v>2053455741</v>
      </c>
      <c r="L15" s="52">
        <f>F15/C15</f>
        <v>0.4014669539501881</v>
      </c>
      <c r="M15" s="38">
        <f t="shared" si="3"/>
        <v>0.43234558429067593</v>
      </c>
      <c r="N15" s="38">
        <f t="shared" si="4"/>
        <v>0.3659770726714432</v>
      </c>
      <c r="O15" s="52">
        <f t="shared" si="1"/>
        <v>0.5029630005238345</v>
      </c>
      <c r="P15" s="38">
        <f t="shared" si="1"/>
        <v>0.5748337844865972</v>
      </c>
      <c r="Q15" s="38">
        <f t="shared" si="1"/>
        <v>0.4203594147389969</v>
      </c>
      <c r="R15" s="46">
        <f>J15-G15</f>
        <v>800000000</v>
      </c>
      <c r="S15" s="46">
        <f t="shared" si="9"/>
        <v>265657741</v>
      </c>
      <c r="T15" s="46">
        <f t="shared" si="5"/>
        <v>825818820</v>
      </c>
    </row>
    <row r="16" spans="1:20" s="45" customFormat="1" ht="24.75" customHeight="1">
      <c r="A16" s="41">
        <v>5</v>
      </c>
      <c r="B16" s="42" t="s">
        <v>115</v>
      </c>
      <c r="C16" s="37">
        <f t="shared" si="6"/>
        <v>11427099334</v>
      </c>
      <c r="D16" s="43">
        <v>5718700000</v>
      </c>
      <c r="E16" s="43">
        <v>5708399334</v>
      </c>
      <c r="F16" s="37">
        <f t="shared" si="10"/>
        <v>5261055531</v>
      </c>
      <c r="G16" s="43">
        <v>1648359531</v>
      </c>
      <c r="H16" s="43">
        <v>3612696000</v>
      </c>
      <c r="I16" s="37">
        <f t="shared" si="7"/>
        <v>6086874351</v>
      </c>
      <c r="J16" s="43">
        <v>2326221351</v>
      </c>
      <c r="K16" s="43">
        <v>3760653000</v>
      </c>
      <c r="L16" s="52">
        <f t="shared" si="2"/>
        <v>0.4604016625064546</v>
      </c>
      <c r="M16" s="38">
        <f t="shared" si="3"/>
        <v>0.288240252330075</v>
      </c>
      <c r="N16" s="38">
        <f t="shared" si="4"/>
        <v>0.632873733707152</v>
      </c>
      <c r="O16" s="52">
        <f t="shared" si="1"/>
        <v>0.5326701180315477</v>
      </c>
      <c r="P16" s="38">
        <f t="shared" si="1"/>
        <v>0.4067745031213388</v>
      </c>
      <c r="Q16" s="38">
        <f t="shared" si="1"/>
        <v>0.6587929084780458</v>
      </c>
      <c r="R16" s="46">
        <f t="shared" si="8"/>
        <v>677861820</v>
      </c>
      <c r="S16" s="46">
        <f t="shared" si="9"/>
        <v>147957000</v>
      </c>
      <c r="T16" s="46">
        <f t="shared" si="5"/>
        <v>1573568375</v>
      </c>
    </row>
    <row r="17" spans="1:20" s="45" customFormat="1" ht="24.75" customHeight="1">
      <c r="A17" s="41">
        <v>6</v>
      </c>
      <c r="B17" s="42" t="s">
        <v>116</v>
      </c>
      <c r="C17" s="37">
        <f t="shared" si="6"/>
        <v>11965234152</v>
      </c>
      <c r="D17" s="43">
        <v>4796000000</v>
      </c>
      <c r="E17" s="43">
        <v>7169234152</v>
      </c>
      <c r="F17" s="37">
        <f t="shared" si="10"/>
        <v>4520487023</v>
      </c>
      <c r="G17" s="43">
        <v>1617074023</v>
      </c>
      <c r="H17" s="43">
        <v>2903413000</v>
      </c>
      <c r="I17" s="37">
        <f t="shared" si="7"/>
        <v>6094055398</v>
      </c>
      <c r="J17" s="43">
        <v>2190642398</v>
      </c>
      <c r="K17" s="43">
        <v>3903413000</v>
      </c>
      <c r="L17" s="52">
        <f t="shared" si="2"/>
        <v>0.3778018019183015</v>
      </c>
      <c r="M17" s="38">
        <f t="shared" si="3"/>
        <v>0.3371713976230192</v>
      </c>
      <c r="N17" s="38">
        <f t="shared" si="4"/>
        <v>0.4049823089109226</v>
      </c>
      <c r="O17" s="52">
        <f t="shared" si="1"/>
        <v>0.5093135095046487</v>
      </c>
      <c r="P17" s="38">
        <f t="shared" si="1"/>
        <v>0.45676446997497916</v>
      </c>
      <c r="Q17" s="38">
        <f t="shared" si="1"/>
        <v>0.5444672216363676</v>
      </c>
      <c r="R17" s="46">
        <f t="shared" si="8"/>
        <v>573568375</v>
      </c>
      <c r="S17" s="46">
        <f>K17-H17</f>
        <v>1000000000</v>
      </c>
      <c r="T17" s="46">
        <f t="shared" si="5"/>
        <v>1653250000</v>
      </c>
    </row>
    <row r="18" spans="1:20" s="45" customFormat="1" ht="24.75" customHeight="1">
      <c r="A18" s="41">
        <v>7</v>
      </c>
      <c r="B18" s="42" t="s">
        <v>117</v>
      </c>
      <c r="C18" s="37">
        <f t="shared" si="6"/>
        <v>12482600000</v>
      </c>
      <c r="D18" s="43">
        <v>5751600000</v>
      </c>
      <c r="E18" s="43">
        <f>6731000000</f>
        <v>6731000000</v>
      </c>
      <c r="F18" s="37">
        <f t="shared" si="10"/>
        <v>3846750000</v>
      </c>
      <c r="G18" s="43">
        <v>1846750000</v>
      </c>
      <c r="H18" s="43">
        <f>1217660000+782340000</f>
        <v>2000000000</v>
      </c>
      <c r="I18" s="37">
        <f t="shared" si="7"/>
        <v>5500000000</v>
      </c>
      <c r="J18" s="43">
        <v>2500000000</v>
      </c>
      <c r="K18" s="43">
        <v>3000000000</v>
      </c>
      <c r="L18" s="52">
        <f t="shared" si="2"/>
        <v>0.3081689712079214</v>
      </c>
      <c r="M18" s="38">
        <f t="shared" si="3"/>
        <v>0.32108456777244593</v>
      </c>
      <c r="N18" s="38">
        <f t="shared" si="4"/>
        <v>0.2971326697370376</v>
      </c>
      <c r="O18" s="52">
        <f t="shared" si="1"/>
        <v>0.44061333376059475</v>
      </c>
      <c r="P18" s="38">
        <f t="shared" si="1"/>
        <v>0.4346616593643508</v>
      </c>
      <c r="Q18" s="38">
        <f t="shared" si="1"/>
        <v>0.4456990046055564</v>
      </c>
      <c r="R18" s="46">
        <f t="shared" si="8"/>
        <v>653250000</v>
      </c>
      <c r="S18" s="46">
        <f t="shared" si="9"/>
        <v>1000000000</v>
      </c>
      <c r="T18" s="46">
        <f t="shared" si="5"/>
        <v>713895830</v>
      </c>
    </row>
    <row r="19" spans="1:20" s="45" customFormat="1" ht="24.75" customHeight="1">
      <c r="A19" s="41">
        <v>8</v>
      </c>
      <c r="B19" s="42" t="s">
        <v>118</v>
      </c>
      <c r="C19" s="37">
        <f t="shared" si="6"/>
        <v>8455700000</v>
      </c>
      <c r="D19" s="43">
        <v>4810700000</v>
      </c>
      <c r="E19" s="43">
        <f>3645000000</f>
        <v>3645000000</v>
      </c>
      <c r="F19" s="37">
        <f t="shared" si="10"/>
        <v>3085452601</v>
      </c>
      <c r="G19" s="43">
        <v>1633942016</v>
      </c>
      <c r="H19" s="43">
        <v>1451510585</v>
      </c>
      <c r="I19" s="37">
        <f t="shared" si="7"/>
        <v>3799348431</v>
      </c>
      <c r="J19" s="43">
        <v>1927473846</v>
      </c>
      <c r="K19" s="43">
        <v>1871874585</v>
      </c>
      <c r="L19" s="52">
        <f t="shared" si="2"/>
        <v>0.3648961766618967</v>
      </c>
      <c r="M19" s="38">
        <f t="shared" si="3"/>
        <v>0.3396474558796017</v>
      </c>
      <c r="N19" s="38">
        <f t="shared" si="4"/>
        <v>0.3982196392318244</v>
      </c>
      <c r="O19" s="52">
        <f t="shared" si="1"/>
        <v>0.449323938999728</v>
      </c>
      <c r="P19" s="38">
        <f t="shared" si="1"/>
        <v>0.40066390462926393</v>
      </c>
      <c r="Q19" s="38">
        <f t="shared" si="1"/>
        <v>0.5135458395061728</v>
      </c>
      <c r="R19" s="46">
        <f t="shared" si="8"/>
        <v>293531830</v>
      </c>
      <c r="S19" s="46">
        <f t="shared" si="9"/>
        <v>420364000</v>
      </c>
      <c r="T19" s="46">
        <f t="shared" si="5"/>
        <v>937434280</v>
      </c>
    </row>
    <row r="20" spans="1:20" s="45" customFormat="1" ht="24.75" customHeight="1">
      <c r="A20" s="41">
        <v>9</v>
      </c>
      <c r="B20" s="42" t="s">
        <v>119</v>
      </c>
      <c r="C20" s="37">
        <f t="shared" si="6"/>
        <v>10371100000</v>
      </c>
      <c r="D20" s="43">
        <v>5577100000</v>
      </c>
      <c r="E20" s="43">
        <f>4794000000</f>
        <v>4794000000</v>
      </c>
      <c r="F20" s="37">
        <f t="shared" si="10"/>
        <v>4208630520</v>
      </c>
      <c r="G20" s="43">
        <f>1683596600+1000000000</f>
        <v>2683596600</v>
      </c>
      <c r="H20" s="43">
        <f>1525033920</f>
        <v>1525033920</v>
      </c>
      <c r="I20" s="37">
        <f t="shared" si="7"/>
        <v>5146064800</v>
      </c>
      <c r="J20" s="43">
        <v>3366064800</v>
      </c>
      <c r="K20" s="43">
        <f>980000000+800000000</f>
        <v>1780000000</v>
      </c>
      <c r="L20" s="52">
        <f t="shared" si="2"/>
        <v>0.405803677526974</v>
      </c>
      <c r="M20" s="38">
        <f t="shared" si="3"/>
        <v>0.48118136666009215</v>
      </c>
      <c r="N20" s="38">
        <f t="shared" si="4"/>
        <v>0.31811304130162704</v>
      </c>
      <c r="O20" s="52">
        <f t="shared" si="1"/>
        <v>0.4961927664375042</v>
      </c>
      <c r="P20" s="38">
        <f t="shared" si="1"/>
        <v>0.6035510928618816</v>
      </c>
      <c r="Q20" s="38">
        <f t="shared" si="1"/>
        <v>0.3712974551522737</v>
      </c>
      <c r="R20" s="46">
        <f t="shared" si="8"/>
        <v>682468200</v>
      </c>
      <c r="S20" s="46">
        <f>K20-H20</f>
        <v>254966080</v>
      </c>
      <c r="T20" s="46">
        <f t="shared" si="5"/>
        <v>559680772</v>
      </c>
    </row>
    <row r="21" spans="1:20" s="45" customFormat="1" ht="24.75" customHeight="1">
      <c r="A21" s="41">
        <v>10</v>
      </c>
      <c r="B21" s="42" t="s">
        <v>120</v>
      </c>
      <c r="C21" s="37">
        <f t="shared" si="6"/>
        <v>8628604972</v>
      </c>
      <c r="D21" s="43">
        <v>4991700000</v>
      </c>
      <c r="E21" s="43">
        <v>3636904972</v>
      </c>
      <c r="F21" s="37">
        <f t="shared" si="10"/>
        <v>3557372900</v>
      </c>
      <c r="G21" s="43">
        <v>1510766900</v>
      </c>
      <c r="H21" s="43">
        <v>2046606000</v>
      </c>
      <c r="I21" s="37">
        <f t="shared" si="7"/>
        <v>4117053672</v>
      </c>
      <c r="J21" s="43">
        <v>1775148700</v>
      </c>
      <c r="K21" s="43">
        <v>2341904972</v>
      </c>
      <c r="L21" s="52">
        <f t="shared" si="2"/>
        <v>0.4122767135062676</v>
      </c>
      <c r="M21" s="38">
        <f t="shared" si="3"/>
        <v>0.3026557886090911</v>
      </c>
      <c r="N21" s="38">
        <f t="shared" si="4"/>
        <v>0.5627328774759089</v>
      </c>
      <c r="O21" s="52">
        <f t="shared" si="1"/>
        <v>0.47714012697996067</v>
      </c>
      <c r="P21" s="38">
        <f t="shared" si="1"/>
        <v>0.355620069315063</v>
      </c>
      <c r="Q21" s="38">
        <f t="shared" si="1"/>
        <v>0.6439280074761327</v>
      </c>
      <c r="R21" s="46">
        <f t="shared" si="8"/>
        <v>264381800</v>
      </c>
      <c r="S21" s="46">
        <f t="shared" si="9"/>
        <v>295298972</v>
      </c>
      <c r="T21" s="46">
        <f t="shared" si="5"/>
        <v>1414994129</v>
      </c>
    </row>
    <row r="22" spans="1:20" s="45" customFormat="1" ht="24.75" customHeight="1">
      <c r="A22" s="41">
        <v>11</v>
      </c>
      <c r="B22" s="42" t="s">
        <v>121</v>
      </c>
      <c r="C22" s="37">
        <f t="shared" si="6"/>
        <v>10077169785</v>
      </c>
      <c r="D22" s="43">
        <v>5048500000</v>
      </c>
      <c r="E22" s="43">
        <f>5028669785</f>
        <v>5028669785</v>
      </c>
      <c r="F22" s="37">
        <f t="shared" si="10"/>
        <v>4876655965</v>
      </c>
      <c r="G22" s="43">
        <v>1632474165</v>
      </c>
      <c r="H22" s="43">
        <f>2753245800+490936000</f>
        <v>3244181800</v>
      </c>
      <c r="I22" s="37">
        <f t="shared" si="7"/>
        <v>6291650094</v>
      </c>
      <c r="J22" s="43">
        <v>2047468294</v>
      </c>
      <c r="K22" s="43">
        <v>4244181800</v>
      </c>
      <c r="L22" s="52">
        <f t="shared" si="2"/>
        <v>0.4839311105246005</v>
      </c>
      <c r="M22" s="38">
        <f t="shared" si="3"/>
        <v>0.3233582578983857</v>
      </c>
      <c r="N22" s="38">
        <f t="shared" si="4"/>
        <v>0.6451371712012305</v>
      </c>
      <c r="O22" s="52">
        <f t="shared" si="1"/>
        <v>0.6243469375067198</v>
      </c>
      <c r="P22" s="38">
        <f t="shared" si="1"/>
        <v>0.40555972942458157</v>
      </c>
      <c r="Q22" s="38">
        <f>K22/E22</f>
        <v>0.8439969179642604</v>
      </c>
      <c r="R22" s="46">
        <f t="shared" si="8"/>
        <v>414994129</v>
      </c>
      <c r="S22" s="46">
        <f t="shared" si="9"/>
        <v>1000000000</v>
      </c>
      <c r="T22" s="46">
        <f t="shared" si="5"/>
        <v>1569556900</v>
      </c>
    </row>
    <row r="23" spans="1:20" s="45" customFormat="1" ht="24.75" customHeight="1">
      <c r="A23" s="41">
        <v>12</v>
      </c>
      <c r="B23" s="42" t="s">
        <v>122</v>
      </c>
      <c r="C23" s="37">
        <f t="shared" si="6"/>
        <v>19218200000</v>
      </c>
      <c r="D23" s="43">
        <v>5682200000</v>
      </c>
      <c r="E23" s="43">
        <f>13536000000</f>
        <v>13536000000</v>
      </c>
      <c r="F23" s="37">
        <f t="shared" si="10"/>
        <v>5084759832</v>
      </c>
      <c r="G23" s="43">
        <v>2130719832</v>
      </c>
      <c r="H23" s="43">
        <v>2954040000</v>
      </c>
      <c r="I23" s="37">
        <f t="shared" si="7"/>
        <v>6654316732</v>
      </c>
      <c r="J23" s="43">
        <v>2770276732</v>
      </c>
      <c r="K23" s="43">
        <v>3884040000</v>
      </c>
      <c r="L23" s="52">
        <f t="shared" si="2"/>
        <v>0.2645804410402639</v>
      </c>
      <c r="M23" s="38">
        <f t="shared" si="3"/>
        <v>0.3749814916757594</v>
      </c>
      <c r="N23" s="38">
        <f t="shared" si="4"/>
        <v>0.2182358156028369</v>
      </c>
      <c r="O23" s="52">
        <f t="shared" si="1"/>
        <v>0.34625077957352923</v>
      </c>
      <c r="P23" s="38">
        <f t="shared" si="1"/>
        <v>0.4875359424166696</v>
      </c>
      <c r="Q23" s="38">
        <f t="shared" si="1"/>
        <v>0.2869414893617021</v>
      </c>
      <c r="R23" s="46">
        <f t="shared" si="8"/>
        <v>639556900</v>
      </c>
      <c r="S23" s="46">
        <f>K23-H23</f>
        <v>930000000</v>
      </c>
      <c r="T23" s="46">
        <f t="shared" si="5"/>
        <v>0</v>
      </c>
    </row>
    <row r="24" spans="1:17" ht="22.5" customHeight="1">
      <c r="A24" s="30"/>
      <c r="B24" s="30"/>
      <c r="C24" s="30"/>
      <c r="D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8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8.75">
      <c r="A26" s="30"/>
      <c r="B26" s="30"/>
      <c r="C26" s="3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8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8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</sheetData>
  <sheetProtection/>
  <mergeCells count="31">
    <mergeCell ref="C6:C9"/>
    <mergeCell ref="D7:D9"/>
    <mergeCell ref="H7:H9"/>
    <mergeCell ref="M7:M9"/>
    <mergeCell ref="D6:E6"/>
    <mergeCell ref="N7:N9"/>
    <mergeCell ref="F6:F9"/>
    <mergeCell ref="J7:J9"/>
    <mergeCell ref="L5:N5"/>
    <mergeCell ref="F5:H5"/>
    <mergeCell ref="L6:L9"/>
    <mergeCell ref="O5:Q5"/>
    <mergeCell ref="J6:K6"/>
    <mergeCell ref="M6:N6"/>
    <mergeCell ref="Q7:Q9"/>
    <mergeCell ref="E7:E9"/>
    <mergeCell ref="I6:I9"/>
    <mergeCell ref="P6:Q6"/>
    <mergeCell ref="K7:K9"/>
    <mergeCell ref="O6:O9"/>
    <mergeCell ref="G7:G9"/>
    <mergeCell ref="A1:Q1"/>
    <mergeCell ref="A2:Q2"/>
    <mergeCell ref="A3:Q3"/>
    <mergeCell ref="A4:Q4"/>
    <mergeCell ref="A5:A9"/>
    <mergeCell ref="B5:B9"/>
    <mergeCell ref="I5:K5"/>
    <mergeCell ref="G6:H6"/>
    <mergeCell ref="C5:E5"/>
    <mergeCell ref="P7:P9"/>
  </mergeCells>
  <printOptions/>
  <pageMargins left="0.5511811023622047" right="0.4330708661417323" top="0.5118110236220472" bottom="0.472440944881889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VNN.R9</cp:lastModifiedBy>
  <cp:lastPrinted>2021-06-21T10:19:34Z</cp:lastPrinted>
  <dcterms:created xsi:type="dcterms:W3CDTF">2017-08-10T09:03:06Z</dcterms:created>
  <dcterms:modified xsi:type="dcterms:W3CDTF">2021-06-21T10:19:48Z</dcterms:modified>
  <cp:category/>
  <cp:version/>
  <cp:contentType/>
  <cp:contentStatus/>
</cp:coreProperties>
</file>