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ieu 1 nông nghiệp" sheetId="1" r:id="rId1"/>
    <sheet name="BIEU 2 CONG NGHIEP" sheetId="2" r:id="rId2"/>
    <sheet name=" Bieu 3 LDVT" sheetId="3" r:id="rId3"/>
    <sheet name="Biểu 4 Giáo dục và ĐT" sheetId="4" r:id="rId4"/>
    <sheet name=" Bieu 5 YTe" sheetId="5" r:id="rId5"/>
    <sheet name=" Bieu 6 VHTTDL" sheetId="6" r:id="rId6"/>
    <sheet name="bieu 7 PTTH" sheetId="7" r:id="rId7"/>
    <sheet name="Bieu 8 Kinh tế tập thể" sheetId="8" r:id="rId8"/>
  </sheets>
  <definedNames>
    <definedName name="_xlnm.Print_Area" localSheetId="2">' Bieu 3 LDVT'!$A$1:$R$87</definedName>
    <definedName name="_xlnm.Print_Area" localSheetId="4">' Bieu 5 YTe'!$A$1:$F$99</definedName>
    <definedName name="_xlnm.Print_Area" localSheetId="5">' Bieu 6 VHTTDL'!$A$1:$R$74</definedName>
    <definedName name="_xlnm.Print_Titles" localSheetId="2">' Bieu 3 LDVT'!$5:$7</definedName>
    <definedName name="_xlnm.Print_Titles" localSheetId="4">' Bieu 5 YTe'!$5:$7</definedName>
    <definedName name="_xlnm.Print_Titles" localSheetId="5">' Bieu 6 VHTTDL'!$5:$7</definedName>
    <definedName name="_xlnm.Print_Titles" localSheetId="0">'Bieu 1 nông nghiệp'!$5:$7</definedName>
    <definedName name="_xlnm.Print_Titles" localSheetId="6">'bieu 7 PTTH'!$5:$7</definedName>
  </definedNames>
  <calcPr fullCalcOnLoad="1"/>
</workbook>
</file>

<file path=xl/comments1.xml><?xml version="1.0" encoding="utf-8"?>
<comments xmlns="http://schemas.openxmlformats.org/spreadsheetml/2006/main">
  <authors>
    <author>Smart</author>
  </authors>
  <commentList>
    <comment ref="G20" authorId="0">
      <text>
        <r>
          <rPr>
            <b/>
            <sz val="8"/>
            <rFont val="Tahoma"/>
            <family val="2"/>
          </rPr>
          <t>Smart:</t>
        </r>
        <r>
          <rPr>
            <sz val="8"/>
            <rFont val="Tahoma"/>
            <family val="2"/>
          </rPr>
          <t xml:space="preserve">
thêm 3,6ha</t>
        </r>
      </text>
    </comment>
    <comment ref="H20" authorId="0">
      <text>
        <r>
          <rPr>
            <b/>
            <sz val="8"/>
            <rFont val="Tahoma"/>
            <family val="2"/>
          </rPr>
          <t>Smart:</t>
        </r>
        <r>
          <rPr>
            <sz val="8"/>
            <rFont val="Tahoma"/>
            <family val="2"/>
          </rPr>
          <t xml:space="preserve">
thêm 3 ha</t>
        </r>
      </text>
    </comment>
    <comment ref="I20" authorId="0">
      <text>
        <r>
          <rPr>
            <b/>
            <sz val="8"/>
            <rFont val="Tahoma"/>
            <family val="2"/>
          </rPr>
          <t>Smart:</t>
        </r>
        <r>
          <rPr>
            <sz val="8"/>
            <rFont val="Tahoma"/>
            <family val="2"/>
          </rPr>
          <t xml:space="preserve">
thêm 0,9 ha</t>
        </r>
      </text>
    </comment>
    <comment ref="J20" authorId="0">
      <text>
        <r>
          <rPr>
            <b/>
            <sz val="8"/>
            <rFont val="Tahoma"/>
            <family val="2"/>
          </rPr>
          <t>Smart:</t>
        </r>
        <r>
          <rPr>
            <sz val="8"/>
            <rFont val="Tahoma"/>
            <family val="2"/>
          </rPr>
          <t xml:space="preserve">
thêm 1,1 ha</t>
        </r>
      </text>
    </comment>
    <comment ref="K20" authorId="0">
      <text>
        <r>
          <rPr>
            <b/>
            <sz val="8"/>
            <rFont val="Tahoma"/>
            <family val="2"/>
          </rPr>
          <t>Smart:</t>
        </r>
        <r>
          <rPr>
            <sz val="8"/>
            <rFont val="Tahoma"/>
            <family val="2"/>
          </rPr>
          <t xml:space="preserve">
thêm 3 ha</t>
        </r>
      </text>
    </comment>
    <comment ref="L20" authorId="0">
      <text>
        <r>
          <rPr>
            <b/>
            <sz val="8"/>
            <rFont val="Tahoma"/>
            <family val="2"/>
          </rPr>
          <t>Smart:</t>
        </r>
        <r>
          <rPr>
            <sz val="8"/>
            <rFont val="Tahoma"/>
            <family val="2"/>
          </rPr>
          <t xml:space="preserve">
thêm 1 ha</t>
        </r>
      </text>
    </comment>
    <comment ref="M20" authorId="0">
      <text>
        <r>
          <rPr>
            <b/>
            <sz val="8"/>
            <rFont val="Tahoma"/>
            <family val="2"/>
          </rPr>
          <t>Smart:</t>
        </r>
        <r>
          <rPr>
            <sz val="8"/>
            <rFont val="Tahoma"/>
            <family val="2"/>
          </rPr>
          <t xml:space="preserve">
thêm 1 ha</t>
        </r>
      </text>
    </comment>
    <comment ref="G24" authorId="0">
      <text>
        <r>
          <rPr>
            <b/>
            <sz val="8"/>
            <rFont val="Tahoma"/>
            <family val="2"/>
          </rPr>
          <t>Smart:</t>
        </r>
        <r>
          <rPr>
            <sz val="8"/>
            <rFont val="Tahoma"/>
            <family val="2"/>
          </rPr>
          <t xml:space="preserve">
tăng 13 ha</t>
        </r>
      </text>
    </comment>
    <comment ref="H24" authorId="0">
      <text>
        <r>
          <rPr>
            <b/>
            <sz val="8"/>
            <rFont val="Tahoma"/>
            <family val="2"/>
          </rPr>
          <t>Smart:</t>
        </r>
        <r>
          <rPr>
            <sz val="8"/>
            <rFont val="Tahoma"/>
            <family val="2"/>
          </rPr>
          <t xml:space="preserve">
tăng 14 ha</t>
        </r>
      </text>
    </comment>
    <comment ref="I24" authorId="0">
      <text>
        <r>
          <rPr>
            <b/>
            <sz val="8"/>
            <rFont val="Tahoma"/>
            <family val="2"/>
          </rPr>
          <t>Smart:</t>
        </r>
        <r>
          <rPr>
            <sz val="8"/>
            <rFont val="Tahoma"/>
            <family val="2"/>
          </rPr>
          <t xml:space="preserve">
tăng 2,8 ha</t>
        </r>
      </text>
    </comment>
    <comment ref="J24" authorId="0">
      <text>
        <r>
          <rPr>
            <b/>
            <sz val="8"/>
            <rFont val="Tahoma"/>
            <family val="2"/>
          </rPr>
          <t>Smart:</t>
        </r>
        <r>
          <rPr>
            <sz val="8"/>
            <rFont val="Tahoma"/>
            <family val="2"/>
          </rPr>
          <t xml:space="preserve">
tăng 4,2 ha</t>
        </r>
      </text>
    </comment>
    <comment ref="K24" authorId="0">
      <text>
        <r>
          <rPr>
            <b/>
            <sz val="8"/>
            <rFont val="Tahoma"/>
            <family val="2"/>
          </rPr>
          <t>Smart:</t>
        </r>
        <r>
          <rPr>
            <sz val="8"/>
            <rFont val="Tahoma"/>
            <family val="2"/>
          </rPr>
          <t xml:space="preserve">
tăng 10,3 ha</t>
        </r>
      </text>
    </comment>
    <comment ref="L24" authorId="0">
      <text>
        <r>
          <rPr>
            <b/>
            <sz val="8"/>
            <rFont val="Tahoma"/>
            <family val="2"/>
          </rPr>
          <t>Smart:</t>
        </r>
        <r>
          <rPr>
            <sz val="8"/>
            <rFont val="Tahoma"/>
            <family val="2"/>
          </rPr>
          <t xml:space="preserve">
tăng 0,9 ha</t>
        </r>
      </text>
    </comment>
    <comment ref="M24" authorId="0">
      <text>
        <r>
          <rPr>
            <b/>
            <sz val="8"/>
            <rFont val="Tahoma"/>
            <family val="2"/>
          </rPr>
          <t>Smart:</t>
        </r>
        <r>
          <rPr>
            <sz val="8"/>
            <rFont val="Tahoma"/>
            <family val="2"/>
          </rPr>
          <t xml:space="preserve">
tăng 5,5 ha</t>
        </r>
      </text>
    </comment>
    <comment ref="N24" authorId="0">
      <text>
        <r>
          <rPr>
            <b/>
            <sz val="8"/>
            <rFont val="Tahoma"/>
            <family val="2"/>
          </rPr>
          <t>Smart:</t>
        </r>
        <r>
          <rPr>
            <sz val="8"/>
            <rFont val="Tahoma"/>
            <family val="2"/>
          </rPr>
          <t xml:space="preserve">
tăng 3 ha</t>
        </r>
      </text>
    </comment>
    <comment ref="O24" authorId="0">
      <text>
        <r>
          <rPr>
            <b/>
            <sz val="8"/>
            <rFont val="Tahoma"/>
            <family val="2"/>
          </rPr>
          <t>Smart:</t>
        </r>
        <r>
          <rPr>
            <sz val="8"/>
            <rFont val="Tahoma"/>
            <family val="2"/>
          </rPr>
          <t xml:space="preserve">
tăng 1,4 ha</t>
        </r>
      </text>
    </comment>
    <comment ref="P24" authorId="0">
      <text>
        <r>
          <rPr>
            <b/>
            <sz val="8"/>
            <rFont val="Tahoma"/>
            <family val="2"/>
          </rPr>
          <t>Smart:</t>
        </r>
        <r>
          <rPr>
            <sz val="8"/>
            <rFont val="Tahoma"/>
            <family val="2"/>
          </rPr>
          <t xml:space="preserve">
tăng 1,1 ha</t>
        </r>
      </text>
    </comment>
    <comment ref="Q24" authorId="0">
      <text>
        <r>
          <rPr>
            <b/>
            <sz val="8"/>
            <rFont val="Tahoma"/>
            <family val="2"/>
          </rPr>
          <t>Smart:</t>
        </r>
        <r>
          <rPr>
            <sz val="8"/>
            <rFont val="Tahoma"/>
            <family val="2"/>
          </rPr>
          <t xml:space="preserve">
tăng 1,4 ha</t>
        </r>
      </text>
    </comment>
    <comment ref="E71" authorId="0">
      <text>
        <r>
          <rPr>
            <b/>
            <sz val="8"/>
            <rFont val="Tahoma"/>
            <family val="0"/>
          </rPr>
          <t>Smart:</t>
        </r>
        <r>
          <rPr>
            <sz val="8"/>
            <rFont val="Tahoma"/>
            <family val="0"/>
          </rPr>
          <t xml:space="preserve">
NQ 45 ha</t>
        </r>
      </text>
    </comment>
    <comment ref="E100" authorId="0">
      <text>
        <r>
          <rPr>
            <b/>
            <sz val="8"/>
            <rFont val="Tahoma"/>
            <family val="2"/>
          </rPr>
          <t>Smart:</t>
        </r>
        <r>
          <rPr>
            <sz val="8"/>
            <rFont val="Tahoma"/>
            <family val="2"/>
          </rPr>
          <t xml:space="preserve">
tăng 41 tấn</t>
        </r>
      </text>
    </comment>
    <comment ref="E111" authorId="0">
      <text>
        <r>
          <rPr>
            <b/>
            <sz val="8"/>
            <rFont val="Tahoma"/>
            <family val="2"/>
          </rPr>
          <t>Smart:</t>
        </r>
        <r>
          <rPr>
            <sz val="8"/>
            <rFont val="Tahoma"/>
            <family val="2"/>
          </rPr>
          <t xml:space="preserve">
tỉnh 22699,2</t>
        </r>
      </text>
    </comment>
    <comment ref="L90" authorId="0">
      <text>
        <r>
          <rPr>
            <b/>
            <sz val="8"/>
            <rFont val="Tahoma"/>
            <family val="2"/>
          </rPr>
          <t>Smart:</t>
        </r>
        <r>
          <rPr>
            <sz val="8"/>
            <rFont val="Tahoma"/>
            <family val="2"/>
          </rPr>
          <t xml:space="preserve">
theo ĐN của xã</t>
        </r>
      </text>
    </comment>
    <comment ref="L91" authorId="0">
      <text>
        <r>
          <rPr>
            <b/>
            <sz val="8"/>
            <rFont val="Tahoma"/>
            <family val="2"/>
          </rPr>
          <t>Smart:</t>
        </r>
        <r>
          <rPr>
            <sz val="8"/>
            <rFont val="Tahoma"/>
            <family val="2"/>
          </rPr>
          <t xml:space="preserve">
xã đề nghị</t>
        </r>
      </text>
    </comment>
    <comment ref="N91" authorId="0">
      <text>
        <r>
          <rPr>
            <b/>
            <sz val="8"/>
            <rFont val="Tahoma"/>
            <family val="2"/>
          </rPr>
          <t>Smart:</t>
        </r>
        <r>
          <rPr>
            <sz val="8"/>
            <rFont val="Tahoma"/>
            <family val="2"/>
          </rPr>
          <t xml:space="preserve">
theo ĐN</t>
        </r>
      </text>
    </comment>
    <comment ref="N71" authorId="0">
      <text>
        <r>
          <rPr>
            <b/>
            <sz val="8"/>
            <rFont val="Tahoma"/>
            <family val="2"/>
          </rPr>
          <t>Smart:</t>
        </r>
        <r>
          <rPr>
            <sz val="8"/>
            <rFont val="Tahoma"/>
            <family val="2"/>
          </rPr>
          <t xml:space="preserve">
theo ĐN</t>
        </r>
      </text>
    </comment>
    <comment ref="N111" authorId="0">
      <text>
        <r>
          <rPr>
            <b/>
            <sz val="8"/>
            <rFont val="Tahoma"/>
            <family val="2"/>
          </rPr>
          <t>Smart:</t>
        </r>
        <r>
          <rPr>
            <sz val="8"/>
            <rFont val="Tahoma"/>
            <family val="2"/>
          </rPr>
          <t xml:space="preserve">
theo ĐN</t>
        </r>
      </text>
    </comment>
    <comment ref="H53" authorId="0">
      <text>
        <r>
          <rPr>
            <b/>
            <sz val="8"/>
            <rFont val="Tahoma"/>
            <family val="2"/>
          </rPr>
          <t>Smart:</t>
        </r>
        <r>
          <rPr>
            <sz val="8"/>
            <rFont val="Tahoma"/>
            <family val="2"/>
          </rPr>
          <t xml:space="preserve">
Theo ĐN</t>
        </r>
      </text>
    </comment>
    <comment ref="Q91" authorId="0">
      <text>
        <r>
          <rPr>
            <b/>
            <sz val="8"/>
            <rFont val="Tahoma"/>
            <family val="2"/>
          </rPr>
          <t>Smart:</t>
        </r>
        <r>
          <rPr>
            <sz val="8"/>
            <rFont val="Tahoma"/>
            <family val="2"/>
          </rPr>
          <t xml:space="preserve">
theo ĐN</t>
        </r>
      </text>
    </comment>
    <comment ref="Q95" authorId="0">
      <text>
        <r>
          <rPr>
            <b/>
            <sz val="8"/>
            <rFont val="Tahoma"/>
            <family val="2"/>
          </rPr>
          <t>Smart:</t>
        </r>
        <r>
          <rPr>
            <sz val="8"/>
            <rFont val="Tahoma"/>
            <family val="2"/>
          </rPr>
          <t xml:space="preserve">
theo ĐN</t>
        </r>
      </text>
    </comment>
    <comment ref="E90" authorId="0">
      <text>
        <r>
          <rPr>
            <b/>
            <sz val="8"/>
            <rFont val="Tahoma"/>
            <family val="2"/>
          </rPr>
          <t>Smart:</t>
        </r>
        <r>
          <rPr>
            <sz val="8"/>
            <rFont val="Tahoma"/>
            <family val="2"/>
          </rPr>
          <t xml:space="preserve">
13676</t>
        </r>
      </text>
    </comment>
    <comment ref="E91" authorId="0">
      <text>
        <r>
          <rPr>
            <b/>
            <sz val="8"/>
            <rFont val="Tahoma"/>
            <family val="2"/>
          </rPr>
          <t>Smart:</t>
        </r>
        <r>
          <rPr>
            <sz val="8"/>
            <rFont val="Tahoma"/>
            <family val="2"/>
          </rPr>
          <t xml:space="preserve">
2894</t>
        </r>
      </text>
    </comment>
    <comment ref="E10" authorId="0">
      <text>
        <r>
          <rPr>
            <b/>
            <sz val="8"/>
            <rFont val="Tahoma"/>
            <family val="2"/>
          </rPr>
          <t>Smart:</t>
        </r>
        <r>
          <rPr>
            <sz val="8"/>
            <rFont val="Tahoma"/>
            <family val="2"/>
          </rPr>
          <t xml:space="preserve">
tỉnh 9.179,5; NQ 9.720</t>
        </r>
      </text>
    </comment>
    <comment ref="E11" authorId="0">
      <text>
        <r>
          <rPr>
            <b/>
            <sz val="8"/>
            <rFont val="Tahoma"/>
            <family val="2"/>
          </rPr>
          <t>Smart:</t>
        </r>
        <r>
          <rPr>
            <sz val="8"/>
            <rFont val="Tahoma"/>
            <family val="2"/>
          </rPr>
          <t xml:space="preserve">
tỉnh, NQ 25.415</t>
        </r>
      </text>
    </comment>
    <comment ref="E12" authorId="0">
      <text>
        <r>
          <rPr>
            <b/>
            <sz val="8"/>
            <rFont val="Tahoma"/>
            <family val="2"/>
          </rPr>
          <t>Smart:</t>
        </r>
        <r>
          <rPr>
            <sz val="8"/>
            <rFont val="Tahoma"/>
            <family val="2"/>
          </rPr>
          <t xml:space="preserve">
tỉnh, NQ 14.766,6</t>
        </r>
      </text>
    </comment>
    <comment ref="E13" authorId="0">
      <text>
        <r>
          <rPr>
            <b/>
            <sz val="8"/>
            <rFont val="Tahoma"/>
            <family val="2"/>
          </rPr>
          <t>Smart:</t>
        </r>
        <r>
          <rPr>
            <sz val="8"/>
            <rFont val="Tahoma"/>
            <family val="2"/>
          </rPr>
          <t xml:space="preserve">
tỉnh, NQ 11.967,6</t>
        </r>
      </text>
    </comment>
    <comment ref="E14" authorId="0">
      <text>
        <r>
          <rPr>
            <b/>
            <sz val="8"/>
            <rFont val="Tahoma"/>
            <family val="2"/>
          </rPr>
          <t>Smart:</t>
        </r>
        <r>
          <rPr>
            <sz val="8"/>
            <rFont val="Tahoma"/>
            <family val="2"/>
          </rPr>
          <t xml:space="preserve">
tỉnh 47,1</t>
        </r>
      </text>
    </comment>
    <comment ref="E18" authorId="0">
      <text>
        <r>
          <rPr>
            <b/>
            <sz val="8"/>
            <rFont val="Tahoma"/>
            <family val="2"/>
          </rPr>
          <t>Smart:</t>
        </r>
        <r>
          <rPr>
            <sz val="8"/>
            <rFont val="Tahoma"/>
            <family val="2"/>
          </rPr>
          <t xml:space="preserve">
tỉnh 14.766,6</t>
        </r>
      </text>
    </comment>
    <comment ref="E24" authorId="0">
      <text>
        <r>
          <rPr>
            <b/>
            <sz val="8"/>
            <rFont val="Tahoma"/>
            <family val="2"/>
          </rPr>
          <t>Smart:</t>
        </r>
        <r>
          <rPr>
            <sz val="8"/>
            <rFont val="Tahoma"/>
            <family val="2"/>
          </rPr>
          <t xml:space="preserve">
tỉnh 2.033,5</t>
        </r>
      </text>
    </comment>
    <comment ref="E26" authorId="0">
      <text>
        <r>
          <rPr>
            <b/>
            <sz val="8"/>
            <rFont val="Tahoma"/>
            <family val="2"/>
          </rPr>
          <t>Smart:</t>
        </r>
        <r>
          <rPr>
            <sz val="8"/>
            <rFont val="Tahoma"/>
            <family val="2"/>
          </rPr>
          <t xml:space="preserve">
tỉnh 8635,6</t>
        </r>
      </text>
    </comment>
    <comment ref="E29" authorId="0">
      <text>
        <r>
          <rPr>
            <b/>
            <sz val="8"/>
            <rFont val="Tahoma"/>
            <family val="2"/>
          </rPr>
          <t>Smart:</t>
        </r>
        <r>
          <rPr>
            <sz val="8"/>
            <rFont val="Tahoma"/>
            <family val="2"/>
          </rPr>
          <t xml:space="preserve">
tỉnh 14,9</t>
        </r>
      </text>
    </comment>
    <comment ref="E30" authorId="0">
      <text>
        <r>
          <rPr>
            <b/>
            <sz val="8"/>
            <rFont val="Tahoma"/>
            <family val="2"/>
          </rPr>
          <t>Smart:</t>
        </r>
        <r>
          <rPr>
            <sz val="8"/>
            <rFont val="Tahoma"/>
            <family val="2"/>
          </rPr>
          <t xml:space="preserve">
tỉnh 2799</t>
        </r>
      </text>
    </comment>
    <comment ref="E33" authorId="0">
      <text>
        <r>
          <rPr>
            <b/>
            <sz val="8"/>
            <rFont val="Tahoma"/>
            <family val="2"/>
          </rPr>
          <t>Smart:</t>
        </r>
        <r>
          <rPr>
            <sz val="8"/>
            <rFont val="Tahoma"/>
            <family val="2"/>
          </rPr>
          <t xml:space="preserve">
tỉnh 20,3</t>
        </r>
      </text>
    </comment>
    <comment ref="E34" authorId="0">
      <text>
        <r>
          <rPr>
            <b/>
            <sz val="8"/>
            <rFont val="Tahoma"/>
            <family val="2"/>
          </rPr>
          <t>Smart:</t>
        </r>
        <r>
          <rPr>
            <sz val="8"/>
            <rFont val="Tahoma"/>
            <family val="2"/>
          </rPr>
          <t xml:space="preserve">
tỉnh 10648,4</t>
        </r>
      </text>
    </comment>
  </commentList>
</comments>
</file>

<file path=xl/comments3.xml><?xml version="1.0" encoding="utf-8"?>
<comments xmlns="http://schemas.openxmlformats.org/spreadsheetml/2006/main">
  <authors>
    <author>Smart</author>
  </authors>
  <commentList>
    <comment ref="E38" authorId="0">
      <text>
        <r>
          <rPr>
            <b/>
            <sz val="8"/>
            <rFont val="Tahoma"/>
            <family val="2"/>
          </rPr>
          <t>Smart:</t>
        </r>
        <r>
          <rPr>
            <sz val="8"/>
            <rFont val="Tahoma"/>
            <family val="2"/>
          </rPr>
          <t xml:space="preserve">
tỉnh 174</t>
        </r>
      </text>
    </comment>
    <comment ref="E39" authorId="0">
      <text>
        <r>
          <rPr>
            <b/>
            <sz val="8"/>
            <rFont val="Tahoma"/>
            <family val="2"/>
          </rPr>
          <t>Smart:</t>
        </r>
        <r>
          <rPr>
            <sz val="8"/>
            <rFont val="Tahoma"/>
            <family val="2"/>
          </rPr>
          <t xml:space="preserve">
tỉnh 143</t>
        </r>
      </text>
    </comment>
    <comment ref="E17" authorId="0">
      <text>
        <r>
          <rPr>
            <b/>
            <sz val="8"/>
            <rFont val="Tahoma"/>
            <family val="2"/>
          </rPr>
          <t>Smart:</t>
        </r>
        <r>
          <rPr>
            <sz val="8"/>
            <rFont val="Tahoma"/>
            <family val="2"/>
          </rPr>
          <t xml:space="preserve">
tỉnh 4380</t>
        </r>
      </text>
    </comment>
    <comment ref="E18" authorId="0">
      <text>
        <r>
          <rPr>
            <b/>
            <sz val="8"/>
            <rFont val="Tahoma"/>
            <family val="2"/>
          </rPr>
          <t>Smart:</t>
        </r>
        <r>
          <rPr>
            <sz val="8"/>
            <rFont val="Tahoma"/>
            <family val="2"/>
          </rPr>
          <t xml:space="preserve">
tỉnh 29812</t>
        </r>
      </text>
    </comment>
    <comment ref="E42" authorId="0">
      <text>
        <r>
          <rPr>
            <b/>
            <sz val="8"/>
            <rFont val="Tahoma"/>
            <family val="2"/>
          </rPr>
          <t>Smart:</t>
        </r>
        <r>
          <rPr>
            <sz val="8"/>
            <rFont val="Tahoma"/>
            <family val="2"/>
          </rPr>
          <t xml:space="preserve">
tỉnh 25</t>
        </r>
      </text>
    </comment>
    <comment ref="E44" authorId="0">
      <text>
        <r>
          <rPr>
            <b/>
            <sz val="8"/>
            <rFont val="Tahoma"/>
            <family val="2"/>
          </rPr>
          <t>Smart:</t>
        </r>
        <r>
          <rPr>
            <sz val="8"/>
            <rFont val="Tahoma"/>
            <family val="2"/>
          </rPr>
          <t xml:space="preserve">
tỉnh 17</t>
        </r>
      </text>
    </comment>
    <comment ref="E47" authorId="0">
      <text>
        <r>
          <rPr>
            <b/>
            <sz val="8"/>
            <rFont val="Tahoma"/>
            <family val="2"/>
          </rPr>
          <t>Smart:</t>
        </r>
        <r>
          <rPr>
            <sz val="8"/>
            <rFont val="Tahoma"/>
            <family val="2"/>
          </rPr>
          <t xml:space="preserve">
tỉnh 12/20</t>
        </r>
      </text>
    </comment>
    <comment ref="E56" authorId="0">
      <text>
        <r>
          <rPr>
            <b/>
            <sz val="8"/>
            <rFont val="Tahoma"/>
            <family val="2"/>
          </rPr>
          <t>Smart:</t>
        </r>
        <r>
          <rPr>
            <sz val="8"/>
            <rFont val="Tahoma"/>
            <family val="2"/>
          </rPr>
          <t xml:space="preserve">
tỉnh 5450</t>
        </r>
      </text>
    </comment>
    <comment ref="E57" authorId="0">
      <text>
        <r>
          <rPr>
            <b/>
            <sz val="8"/>
            <rFont val="Tahoma"/>
            <family val="2"/>
          </rPr>
          <t>Smart:</t>
        </r>
        <r>
          <rPr>
            <sz val="8"/>
            <rFont val="Tahoma"/>
            <family val="2"/>
          </rPr>
          <t xml:space="preserve">
tỉnh 5069</t>
        </r>
      </text>
    </comment>
    <comment ref="E59" authorId="0">
      <text>
        <r>
          <rPr>
            <b/>
            <sz val="8"/>
            <rFont val="Tahoma"/>
            <family val="2"/>
          </rPr>
          <t>Smart:</t>
        </r>
        <r>
          <rPr>
            <sz val="8"/>
            <rFont val="Tahoma"/>
            <family val="2"/>
          </rPr>
          <t xml:space="preserve">
tỉnh 419</t>
        </r>
      </text>
    </comment>
    <comment ref="E60" authorId="0">
      <text>
        <r>
          <rPr>
            <b/>
            <sz val="8"/>
            <rFont val="Tahoma"/>
            <family val="2"/>
          </rPr>
          <t>Smart:</t>
        </r>
        <r>
          <rPr>
            <sz val="8"/>
            <rFont val="Tahoma"/>
            <family val="2"/>
          </rPr>
          <t xml:space="preserve">
tỉnh 43,86</t>
        </r>
      </text>
    </comment>
    <comment ref="E77" authorId="0">
      <text>
        <r>
          <rPr>
            <b/>
            <sz val="8"/>
            <rFont val="Tahoma"/>
            <family val="2"/>
          </rPr>
          <t>Smart:</t>
        </r>
        <r>
          <rPr>
            <sz val="8"/>
            <rFont val="Tahoma"/>
            <family val="2"/>
          </rPr>
          <t xml:space="preserve">
tỉnh 480</t>
        </r>
      </text>
    </comment>
  </commentList>
</comments>
</file>

<file path=xl/comments4.xml><?xml version="1.0" encoding="utf-8"?>
<comments xmlns="http://schemas.openxmlformats.org/spreadsheetml/2006/main">
  <authors>
    <author>Smart</author>
  </authors>
  <commentList>
    <comment ref="E19" authorId="0">
      <text>
        <r>
          <rPr>
            <b/>
            <sz val="8"/>
            <rFont val="Tahoma"/>
            <family val="2"/>
          </rPr>
          <t>Smart:</t>
        </r>
        <r>
          <rPr>
            <sz val="8"/>
            <rFont val="Tahoma"/>
            <family val="2"/>
          </rPr>
          <t xml:space="preserve">
tỉnh 61,9</t>
        </r>
      </text>
    </comment>
    <comment ref="E8" authorId="0">
      <text>
        <r>
          <rPr>
            <b/>
            <sz val="8"/>
            <rFont val="Tahoma"/>
            <family val="2"/>
          </rPr>
          <t>Smart:</t>
        </r>
        <r>
          <rPr>
            <sz val="8"/>
            <rFont val="Tahoma"/>
            <family val="2"/>
          </rPr>
          <t xml:space="preserve">
tỉnh 19401</t>
        </r>
      </text>
    </comment>
    <comment ref="E20" authorId="0">
      <text>
        <r>
          <rPr>
            <b/>
            <sz val="8"/>
            <rFont val="Tahoma"/>
            <family val="2"/>
          </rPr>
          <t>Smart:</t>
        </r>
        <r>
          <rPr>
            <sz val="8"/>
            <rFont val="Tahoma"/>
            <family val="2"/>
          </rPr>
          <t xml:space="preserve">
tỉnh 46,4</t>
        </r>
      </text>
    </comment>
    <comment ref="E21" authorId="0">
      <text>
        <r>
          <rPr>
            <b/>
            <sz val="8"/>
            <rFont val="Tahoma"/>
            <family val="2"/>
          </rPr>
          <t>Smart:</t>
        </r>
        <r>
          <rPr>
            <sz val="8"/>
            <rFont val="Tahoma"/>
            <family val="2"/>
          </rPr>
          <t xml:space="preserve">
tỉnh 8</t>
        </r>
      </text>
    </comment>
    <comment ref="E22" authorId="0">
      <text>
        <r>
          <rPr>
            <b/>
            <sz val="8"/>
            <rFont val="Tahoma"/>
            <family val="2"/>
          </rPr>
          <t>Smart:</t>
        </r>
        <r>
          <rPr>
            <sz val="8"/>
            <rFont val="Tahoma"/>
            <family val="2"/>
          </rPr>
          <t xml:space="preserve">
tỉnh 8,2</t>
        </r>
      </text>
    </comment>
    <comment ref="E25" authorId="0">
      <text>
        <r>
          <rPr>
            <b/>
            <sz val="8"/>
            <rFont val="Tahoma"/>
            <family val="2"/>
          </rPr>
          <t>Smart:</t>
        </r>
        <r>
          <rPr>
            <sz val="8"/>
            <rFont val="Tahoma"/>
            <family val="2"/>
          </rPr>
          <t xml:space="preserve">
tỉnh 99,8</t>
        </r>
      </text>
    </comment>
    <comment ref="E27" authorId="0">
      <text>
        <r>
          <rPr>
            <b/>
            <sz val="8"/>
            <rFont val="Tahoma"/>
            <family val="2"/>
          </rPr>
          <t>Smart:</t>
        </r>
        <r>
          <rPr>
            <sz val="8"/>
            <rFont val="Tahoma"/>
            <family val="2"/>
          </rPr>
          <t xml:space="preserve">
tỉnh 14173</t>
        </r>
      </text>
    </comment>
    <comment ref="E31" authorId="0">
      <text>
        <r>
          <rPr>
            <b/>
            <sz val="8"/>
            <rFont val="Tahoma"/>
            <family val="2"/>
          </rPr>
          <t>Smart:</t>
        </r>
        <r>
          <rPr>
            <sz val="8"/>
            <rFont val="Tahoma"/>
            <family val="2"/>
          </rPr>
          <t xml:space="preserve">
tỉnh 47</t>
        </r>
      </text>
    </comment>
    <comment ref="E33" authorId="0">
      <text>
        <r>
          <rPr>
            <b/>
            <sz val="8"/>
            <rFont val="Tahoma"/>
            <family val="2"/>
          </rPr>
          <t>Smart:</t>
        </r>
        <r>
          <rPr>
            <sz val="8"/>
            <rFont val="Tahoma"/>
            <family val="2"/>
          </rPr>
          <t xml:space="preserve">
tỉnh 0,4</t>
        </r>
      </text>
    </comment>
    <comment ref="E34" authorId="0">
      <text>
        <r>
          <rPr>
            <b/>
            <sz val="8"/>
            <rFont val="Tahoma"/>
            <family val="2"/>
          </rPr>
          <t>Smart:</t>
        </r>
        <r>
          <rPr>
            <sz val="8"/>
            <rFont val="Tahoma"/>
            <family val="2"/>
          </rPr>
          <t xml:space="preserve">
tỉnh 0,4</t>
        </r>
      </text>
    </comment>
    <comment ref="E43" authorId="0">
      <text>
        <r>
          <rPr>
            <b/>
            <sz val="8"/>
            <rFont val="Tahoma"/>
            <family val="2"/>
          </rPr>
          <t>Smart:</t>
        </r>
        <r>
          <rPr>
            <sz val="8"/>
            <rFont val="Tahoma"/>
            <family val="2"/>
          </rPr>
          <t xml:space="preserve">
tỉnh 4992</t>
        </r>
      </text>
    </comment>
    <comment ref="E44" authorId="0">
      <text>
        <r>
          <rPr>
            <b/>
            <sz val="8"/>
            <rFont val="Tahoma"/>
            <family val="2"/>
          </rPr>
          <t>Smart:</t>
        </r>
        <r>
          <rPr>
            <sz val="8"/>
            <rFont val="Tahoma"/>
            <family val="2"/>
          </rPr>
          <t xml:space="preserve">
tỉnh 3012</t>
        </r>
      </text>
    </comment>
    <comment ref="E45" authorId="0">
      <text>
        <r>
          <rPr>
            <b/>
            <sz val="8"/>
            <rFont val="Tahoma"/>
            <family val="2"/>
          </rPr>
          <t>Smart:</t>
        </r>
        <r>
          <rPr>
            <sz val="8"/>
            <rFont val="Tahoma"/>
            <family val="2"/>
          </rPr>
          <t xml:space="preserve">
tỉnh 114</t>
        </r>
      </text>
    </comment>
    <comment ref="E51" authorId="0">
      <text>
        <r>
          <rPr>
            <b/>
            <sz val="8"/>
            <rFont val="Tahoma"/>
            <family val="2"/>
          </rPr>
          <t>Smart:</t>
        </r>
        <r>
          <rPr>
            <sz val="8"/>
            <rFont val="Tahoma"/>
            <family val="2"/>
          </rPr>
          <t xml:space="preserve">
tỉnh 1320</t>
        </r>
      </text>
    </comment>
    <comment ref="F54" authorId="0">
      <text>
        <r>
          <rPr>
            <b/>
            <sz val="8"/>
            <rFont val="Tahoma"/>
            <family val="2"/>
          </rPr>
          <t>Smart:</t>
        </r>
        <r>
          <rPr>
            <sz val="8"/>
            <rFont val="Tahoma"/>
            <family val="2"/>
          </rPr>
          <t xml:space="preserve">
nội trú 10, thpt 20</t>
        </r>
      </text>
    </comment>
    <comment ref="E54" authorId="0">
      <text>
        <r>
          <rPr>
            <b/>
            <sz val="8"/>
            <rFont val="Tahoma"/>
            <family val="2"/>
          </rPr>
          <t>Smart:</t>
        </r>
        <r>
          <rPr>
            <sz val="8"/>
            <rFont val="Tahoma"/>
            <family val="2"/>
          </rPr>
          <t xml:space="preserve">
tỉnh 39</t>
        </r>
      </text>
    </comment>
    <comment ref="E75" authorId="0">
      <text>
        <r>
          <rPr>
            <b/>
            <sz val="8"/>
            <rFont val="Tahoma"/>
            <family val="2"/>
          </rPr>
          <t>Smart:</t>
        </r>
        <r>
          <rPr>
            <sz val="8"/>
            <rFont val="Tahoma"/>
            <family val="2"/>
          </rPr>
          <t xml:space="preserve">
tỉnh 4</t>
        </r>
      </text>
    </comment>
    <comment ref="E28" authorId="0">
      <text>
        <r>
          <rPr>
            <b/>
            <sz val="8"/>
            <rFont val="Tahoma"/>
            <family val="2"/>
          </rPr>
          <t>Smart:</t>
        </r>
        <r>
          <rPr>
            <sz val="8"/>
            <rFont val="Tahoma"/>
            <family val="2"/>
          </rPr>
          <t xml:space="preserve">
tỉnh 7439</t>
        </r>
      </text>
    </comment>
    <comment ref="E29" authorId="0">
      <text>
        <r>
          <rPr>
            <b/>
            <sz val="8"/>
            <rFont val="Tahoma"/>
            <family val="2"/>
          </rPr>
          <t>Smart:</t>
        </r>
        <r>
          <rPr>
            <sz val="8"/>
            <rFont val="Tahoma"/>
            <family val="2"/>
          </rPr>
          <t xml:space="preserve">
tinh 444</t>
        </r>
      </text>
    </comment>
  </commentList>
</comments>
</file>

<file path=xl/comments5.xml><?xml version="1.0" encoding="utf-8"?>
<comments xmlns="http://schemas.openxmlformats.org/spreadsheetml/2006/main">
  <authors>
    <author>Smart</author>
  </authors>
  <commentList>
    <comment ref="B66" authorId="0">
      <text>
        <r>
          <rPr>
            <b/>
            <sz val="8"/>
            <rFont val="Tahoma"/>
            <family val="2"/>
          </rPr>
          <t>Smart:</t>
        </r>
        <r>
          <rPr>
            <sz val="8"/>
            <rFont val="Tahoma"/>
            <family val="2"/>
          </rPr>
          <t xml:space="preserve">
= tổng số sinh chia DSTB x1000</t>
        </r>
      </text>
    </comment>
    <comment ref="B67" authorId="0">
      <text>
        <r>
          <rPr>
            <b/>
            <sz val="8"/>
            <rFont val="Tahoma"/>
            <family val="2"/>
          </rPr>
          <t>Smart:</t>
        </r>
        <r>
          <rPr>
            <sz val="8"/>
            <rFont val="Tahoma"/>
            <family val="2"/>
          </rPr>
          <t xml:space="preserve">
= tổng sinh - tổng chết chia DSTB x1000</t>
        </r>
      </text>
    </comment>
    <comment ref="B68" authorId="0">
      <text>
        <r>
          <rPr>
            <b/>
            <sz val="8"/>
            <rFont val="Tahoma"/>
            <family val="2"/>
          </rPr>
          <t>Smart:</t>
        </r>
        <r>
          <rPr>
            <sz val="8"/>
            <rFont val="Tahoma"/>
            <family val="2"/>
          </rPr>
          <t xml:space="preserve">
= tỷ lệ sinh năm trước - tỷ lệ sinh năm sau</t>
        </r>
      </text>
    </comment>
    <comment ref="B69" authorId="0">
      <text>
        <r>
          <rPr>
            <b/>
            <sz val="8"/>
            <rFont val="Tahoma"/>
            <family val="2"/>
          </rPr>
          <t>Smart:</t>
        </r>
        <r>
          <rPr>
            <sz val="8"/>
            <rFont val="Tahoma"/>
            <family val="2"/>
          </rPr>
          <t xml:space="preserve">
= dân số năm sau - DS năm trước chia DS năm trước x100</t>
        </r>
      </text>
    </comment>
    <comment ref="E21" authorId="0">
      <text>
        <r>
          <rPr>
            <b/>
            <sz val="8"/>
            <rFont val="Tahoma"/>
            <family val="2"/>
          </rPr>
          <t>Smart:</t>
        </r>
        <r>
          <rPr>
            <sz val="8"/>
            <rFont val="Tahoma"/>
            <family val="2"/>
          </rPr>
          <t xml:space="preserve">
tỉnh 5,1</t>
        </r>
      </text>
    </comment>
    <comment ref="E23" authorId="0">
      <text>
        <r>
          <rPr>
            <b/>
            <sz val="8"/>
            <rFont val="Tahoma"/>
            <family val="2"/>
          </rPr>
          <t>Smart:</t>
        </r>
        <r>
          <rPr>
            <sz val="8"/>
            <rFont val="Tahoma"/>
            <family val="2"/>
          </rPr>
          <t xml:space="preserve">
tinht 17,5</t>
        </r>
      </text>
    </comment>
    <comment ref="E24" authorId="0">
      <text>
        <r>
          <rPr>
            <b/>
            <sz val="8"/>
            <rFont val="Tahoma"/>
            <family val="2"/>
          </rPr>
          <t>Smart:</t>
        </r>
        <r>
          <rPr>
            <sz val="8"/>
            <rFont val="Tahoma"/>
            <family val="2"/>
          </rPr>
          <t xml:space="preserve">
tỉnh 18,2</t>
        </r>
      </text>
    </comment>
    <comment ref="E25" authorId="0">
      <text>
        <r>
          <rPr>
            <b/>
            <sz val="8"/>
            <rFont val="Tahoma"/>
            <family val="2"/>
          </rPr>
          <t>Smart:</t>
        </r>
        <r>
          <rPr>
            <sz val="8"/>
            <rFont val="Tahoma"/>
            <family val="2"/>
          </rPr>
          <t xml:space="preserve">
tỉnh 25,4</t>
        </r>
      </text>
    </comment>
    <comment ref="E49" authorId="0">
      <text>
        <r>
          <rPr>
            <b/>
            <sz val="8"/>
            <rFont val="Tahoma"/>
            <family val="2"/>
          </rPr>
          <t>Smart:</t>
        </r>
        <r>
          <rPr>
            <sz val="8"/>
            <rFont val="Tahoma"/>
            <family val="2"/>
          </rPr>
          <t xml:space="preserve">
tỉnh 25,4</t>
        </r>
      </text>
    </comment>
  </commentList>
</comments>
</file>

<file path=xl/comments6.xml><?xml version="1.0" encoding="utf-8"?>
<comments xmlns="http://schemas.openxmlformats.org/spreadsheetml/2006/main">
  <authors>
    <author>Smart</author>
  </authors>
  <commentList>
    <comment ref="E22" authorId="0">
      <text>
        <r>
          <rPr>
            <b/>
            <sz val="8"/>
            <rFont val="Tahoma"/>
            <family val="2"/>
          </rPr>
          <t>Smart:</t>
        </r>
        <r>
          <rPr>
            <sz val="8"/>
            <rFont val="Tahoma"/>
            <family val="2"/>
          </rPr>
          <t xml:space="preserve">
tỉnh giao 0</t>
        </r>
      </text>
    </comment>
    <comment ref="E23" authorId="0">
      <text>
        <r>
          <rPr>
            <b/>
            <sz val="8"/>
            <rFont val="Tahoma"/>
            <family val="2"/>
          </rPr>
          <t>Smart:</t>
        </r>
        <r>
          <rPr>
            <sz val="8"/>
            <rFont val="Tahoma"/>
            <family val="2"/>
          </rPr>
          <t xml:space="preserve">
tỉnh giao 0</t>
        </r>
      </text>
    </comment>
    <comment ref="E37" authorId="0">
      <text>
        <r>
          <rPr>
            <b/>
            <sz val="8"/>
            <rFont val="Tahoma"/>
            <family val="2"/>
          </rPr>
          <t>Smart:</t>
        </r>
        <r>
          <rPr>
            <sz val="8"/>
            <rFont val="Tahoma"/>
            <family val="2"/>
          </rPr>
          <t xml:space="preserve">
tỉnh giao 25</t>
        </r>
      </text>
    </comment>
    <comment ref="E11" authorId="0">
      <text>
        <r>
          <rPr>
            <b/>
            <sz val="8"/>
            <rFont val="Tahoma"/>
            <family val="2"/>
          </rPr>
          <t>Smart:</t>
        </r>
        <r>
          <rPr>
            <sz val="8"/>
            <rFont val="Tahoma"/>
            <family val="2"/>
          </rPr>
          <t xml:space="preserve">
tỉnh 8410</t>
        </r>
      </text>
    </comment>
    <comment ref="E12" authorId="0">
      <text>
        <r>
          <rPr>
            <b/>
            <sz val="8"/>
            <rFont val="Tahoma"/>
            <family val="2"/>
          </rPr>
          <t>Smart:</t>
        </r>
        <r>
          <rPr>
            <sz val="8"/>
            <rFont val="Tahoma"/>
            <family val="2"/>
          </rPr>
          <t xml:space="preserve">
tỉnh 8010</t>
        </r>
      </text>
    </comment>
    <comment ref="E13" authorId="0">
      <text>
        <r>
          <rPr>
            <b/>
            <sz val="8"/>
            <rFont val="Tahoma"/>
            <family val="2"/>
          </rPr>
          <t>Smart:</t>
        </r>
        <r>
          <rPr>
            <sz val="8"/>
            <rFont val="Tahoma"/>
            <family val="2"/>
          </rPr>
          <t xml:space="preserve">
tỉnh 70 NQ 80</t>
        </r>
      </text>
    </comment>
    <comment ref="E14" authorId="0">
      <text>
        <r>
          <rPr>
            <b/>
            <sz val="8"/>
            <rFont val="Tahoma"/>
            <family val="2"/>
          </rPr>
          <t>Smart:</t>
        </r>
        <r>
          <rPr>
            <sz val="8"/>
            <rFont val="Tahoma"/>
            <family val="2"/>
          </rPr>
          <t xml:space="preserve">
tỉnh 90</t>
        </r>
      </text>
    </comment>
    <comment ref="E15" authorId="0">
      <text>
        <r>
          <rPr>
            <b/>
            <sz val="8"/>
            <rFont val="Tahoma"/>
            <family val="2"/>
          </rPr>
          <t>Smart:</t>
        </r>
        <r>
          <rPr>
            <sz val="8"/>
            <rFont val="Tahoma"/>
            <family val="2"/>
          </rPr>
          <t xml:space="preserve">
tỉnh 75</t>
        </r>
      </text>
    </comment>
    <comment ref="E16" authorId="0">
      <text>
        <r>
          <rPr>
            <b/>
            <sz val="8"/>
            <rFont val="Tahoma"/>
            <family val="2"/>
          </rPr>
          <t>Smart:</t>
        </r>
        <r>
          <rPr>
            <sz val="8"/>
            <rFont val="Tahoma"/>
            <family val="2"/>
          </rPr>
          <t xml:space="preserve">
tỉnh 62</t>
        </r>
      </text>
    </comment>
    <comment ref="E36" authorId="0">
      <text>
        <r>
          <rPr>
            <b/>
            <sz val="8"/>
            <rFont val="Tahoma"/>
            <family val="2"/>
          </rPr>
          <t>Smart:</t>
        </r>
        <r>
          <rPr>
            <sz val="8"/>
            <rFont val="Tahoma"/>
            <family val="2"/>
          </rPr>
          <t xml:space="preserve">
tỉnh 5</t>
        </r>
      </text>
    </comment>
    <comment ref="E42" authorId="0">
      <text>
        <r>
          <rPr>
            <b/>
            <sz val="8"/>
            <rFont val="Tahoma"/>
            <family val="2"/>
          </rPr>
          <t>Smart:</t>
        </r>
        <r>
          <rPr>
            <sz val="8"/>
            <rFont val="Tahoma"/>
            <family val="2"/>
          </rPr>
          <t xml:space="preserve">
tỉnh 45</t>
        </r>
      </text>
    </comment>
    <comment ref="E43" authorId="0">
      <text>
        <r>
          <rPr>
            <b/>
            <sz val="8"/>
            <rFont val="Tahoma"/>
            <family val="2"/>
          </rPr>
          <t>Smart:</t>
        </r>
        <r>
          <rPr>
            <sz val="8"/>
            <rFont val="Tahoma"/>
            <family val="2"/>
          </rPr>
          <t xml:space="preserve">
tỉnh 37,2</t>
        </r>
      </text>
    </comment>
  </commentList>
</comments>
</file>

<file path=xl/sharedStrings.xml><?xml version="1.0" encoding="utf-8"?>
<sst xmlns="http://schemas.openxmlformats.org/spreadsheetml/2006/main" count="1480" uniqueCount="757">
  <si>
    <t xml:space="preserve"> Đơn vị tính</t>
  </si>
  <si>
    <t>So sánh (%)</t>
  </si>
  <si>
    <t>Tổng số</t>
  </si>
  <si>
    <t>B</t>
  </si>
  <si>
    <t>TT</t>
  </si>
  <si>
    <t xml:space="preserve"> CHỈ TIÊU</t>
  </si>
  <si>
    <t>tính</t>
  </si>
  <si>
    <t xml:space="preserve"> Dân số trung bình</t>
  </si>
  <si>
    <t xml:space="preserve"> Người</t>
  </si>
  <si>
    <t xml:space="preserve">          - Dân số nông thôn</t>
  </si>
  <si>
    <t xml:space="preserve"> Lao động việc làm</t>
  </si>
  <si>
    <t xml:space="preserve"> L.Động</t>
  </si>
  <si>
    <t xml:space="preserve">    Tỷ lệ so với dân số</t>
  </si>
  <si>
    <t>%</t>
  </si>
  <si>
    <t xml:space="preserve">  - Tr. đó: số người trong độ tuổi LĐ là nữ</t>
  </si>
  <si>
    <t xml:space="preserve"> Số lao động chia theo khu vực</t>
  </si>
  <si>
    <t xml:space="preserve"> - Lao động khu vực thành thị</t>
  </si>
  <si>
    <t xml:space="preserve"> - Lao động khu vực nông thôn</t>
  </si>
  <si>
    <t xml:space="preserve">  Tỷ lệ so với lao động trong độ tuổi</t>
  </si>
  <si>
    <t xml:space="preserve">  Công nghiệp - Xây dựng</t>
  </si>
  <si>
    <t xml:space="preserve"> Nông nghiệp - Lâm nghiệp - Thủy sản</t>
  </si>
  <si>
    <t xml:space="preserve"> Thương mại - Dịch vụ</t>
  </si>
  <si>
    <t xml:space="preserve">       Trong đó: Nữ </t>
  </si>
  <si>
    <t xml:space="preserve"> Tỷ lệ thất nghiệp ở khu vực thành thị</t>
  </si>
  <si>
    <t xml:space="preserve">  Chăm sóc và bảo vệ trẻ em</t>
  </si>
  <si>
    <t xml:space="preserve"> Các vấn đề xã hội</t>
  </si>
  <si>
    <t xml:space="preserve"> Trật tự an toàn xã hội</t>
  </si>
  <si>
    <t>Đ.tượng</t>
  </si>
  <si>
    <t xml:space="preserve"> Số người được cai nghiện</t>
  </si>
  <si>
    <t>T.đó: - Phân chỉ tiêu cho các huyện thị</t>
  </si>
  <si>
    <t xml:space="preserve">   - Phân chỉ tiêu cho các cơ sở khác:</t>
  </si>
  <si>
    <t xml:space="preserve">  + TT Chữa bệnh - Giáo dục - LĐXH</t>
  </si>
  <si>
    <t xml:space="preserve">  + Bộ chỉ huy Bộ đội Biên phòng tỉnh</t>
  </si>
  <si>
    <t xml:space="preserve">  + Trại tạm giam Công an tỉnh</t>
  </si>
  <si>
    <t xml:space="preserve"> +  Cơ sở điều trị bằng thuốc Methadone</t>
  </si>
  <si>
    <t xml:space="preserve"> Số cơ sở nuôi dưỡng tập trung</t>
  </si>
  <si>
    <t xml:space="preserve"> Cơ sở</t>
  </si>
  <si>
    <t xml:space="preserve"> Tr. đó: - TT Bảo trợ xã hội tỉnh</t>
  </si>
  <si>
    <t xml:space="preserve"> - Làng trẻ em SOS Điện Biên Phủ</t>
  </si>
  <si>
    <t xml:space="preserve"> Xoá đói giảm nghèo</t>
  </si>
  <si>
    <t xml:space="preserve"> Tổng số hộ cuối năm</t>
  </si>
  <si>
    <t xml:space="preserve"> Hộ</t>
  </si>
  <si>
    <t xml:space="preserve"> Số hộ đói nghèo đầu kỳ theo chuẩn Quốc gia</t>
  </si>
  <si>
    <t xml:space="preserve"> Số hộ đói nghèo cuối kỳ theo chuẩn Quốc gia </t>
  </si>
  <si>
    <t xml:space="preserve"> Số hộ thoát nghèo</t>
  </si>
  <si>
    <t xml:space="preserve"> Tỷ lệ hộ nghèo</t>
  </si>
  <si>
    <t xml:space="preserve"> Đào tạo nghề xã hội</t>
  </si>
  <si>
    <t>Đơn vị tính</t>
  </si>
  <si>
    <t>Thực hiện 2010</t>
  </si>
  <si>
    <t>Kế hoạch 2012</t>
  </si>
  <si>
    <t>Chia ra</t>
  </si>
  <si>
    <t>Ghi chú</t>
  </si>
  <si>
    <t>Chỉ tiêu</t>
  </si>
  <si>
    <t xml:space="preserve">Thực hiện 2011 </t>
  </si>
  <si>
    <t>Thành phố ĐBP</t>
  </si>
  <si>
    <t>H.Điện Biên</t>
  </si>
  <si>
    <t>Đ.Biên Đông</t>
  </si>
  <si>
    <t>Mường Lay</t>
  </si>
  <si>
    <t>Mường Chà</t>
  </si>
  <si>
    <t>Mường Nhé</t>
  </si>
  <si>
    <t>Mường Ảng</t>
  </si>
  <si>
    <t>Tuần Giáo</t>
  </si>
  <si>
    <t>Tủa Chùa</t>
  </si>
  <si>
    <t>Số học sinh có mặt đầu năm học</t>
  </si>
  <si>
    <t>H/Sinh</t>
  </si>
  <si>
    <t>Giáo dục mầm non</t>
  </si>
  <si>
    <t>- Số cháu vào nhà trẻ</t>
  </si>
  <si>
    <t>Cháu</t>
  </si>
  <si>
    <t xml:space="preserve">- Số học sinh mẫu giáo </t>
  </si>
  <si>
    <t>- Số trẻ 5 tuổi</t>
  </si>
  <si>
    <t>Trẻ</t>
  </si>
  <si>
    <t>- Tỷ lệ huy động trẻ ra lớp/dân số độ tuổi</t>
  </si>
  <si>
    <t>- Tỷ lệ trẻ mầm non là nữ</t>
  </si>
  <si>
    <t>- Tỷ lệ trẻ suy dinh dưỡng thể nhẹ cân</t>
  </si>
  <si>
    <t>- Tỷ lệ trẻ suy dinh dưỡng thể thấp còi</t>
  </si>
  <si>
    <t>-  Tỷ lệ huy động trẻ:  Từ 0-2 tuổi</t>
  </si>
  <si>
    <t xml:space="preserve">                    Từ  3-5 tuổi ra lớp</t>
  </si>
  <si>
    <t xml:space="preserve">                    5 tuổi ra lớp mẫu giáo</t>
  </si>
  <si>
    <t>Hệ phổ thông</t>
  </si>
  <si>
    <t>- Học sinh bán trú</t>
  </si>
  <si>
    <t>- Tỷ lệ học sinh nữ/tổng số học sinh</t>
  </si>
  <si>
    <t>- Tỷ lệ học sinh nữ/tổng số HS</t>
  </si>
  <si>
    <t>- Tỷ lệ học sinh đúng độ tuổi</t>
  </si>
  <si>
    <t>- Tỷ lệ học sinh bỏ học</t>
  </si>
  <si>
    <t xml:space="preserve">- Tỷ lệ học sinh lưu ban </t>
  </si>
  <si>
    <t>- Tỷ lệ học sinh lưu ban</t>
  </si>
  <si>
    <t>Tiểu học</t>
  </si>
  <si>
    <t>- Tỷ lệ học sinh 6 tuổi học lớp 1</t>
  </si>
  <si>
    <t>- Tỷ lệ học sinh 6 tuổi vào lớp 1</t>
  </si>
  <si>
    <t>- Tỷ lệ học sinh 6-10 tuổi học</t>
  </si>
  <si>
    <t>0,1</t>
  </si>
  <si>
    <t xml:space="preserve">Trung học cơ sở </t>
  </si>
  <si>
    <t xml:space="preserve">- Tỷ lệ học sinh 11 tuổi học lớp 6 </t>
  </si>
  <si>
    <t xml:space="preserve">- Tỷ lệ học sinh 11 tuổi vào lớp 6 </t>
  </si>
  <si>
    <t>- Tỷ lệ học sinh 11-14 tuổi học THCS</t>
  </si>
  <si>
    <t>Trung học phổ thông</t>
  </si>
  <si>
    <t xml:space="preserve">- Tỷ lệ học sinh 15 tuổi vào lớp 10 </t>
  </si>
  <si>
    <t>- Tỷ lệ học sinh 15-18 tuổi học THPT</t>
  </si>
  <si>
    <t>"</t>
  </si>
  <si>
    <t xml:space="preserve">Trong đó: HS các trường DTNT </t>
  </si>
  <si>
    <t>Hệ bổ túc văn hóa</t>
  </si>
  <si>
    <t>- Học sinh PCGDTH-XMC</t>
  </si>
  <si>
    <t>- Học sinh PCGD THCS</t>
  </si>
  <si>
    <t>- Học sinh bổ túc THPT</t>
  </si>
  <si>
    <t>Hướng nghiệp dạy nghề cho h/sinh PT</t>
  </si>
  <si>
    <t>- Học sinh THCS</t>
  </si>
  <si>
    <t>- Học sinh THPT</t>
  </si>
  <si>
    <t xml:space="preserve">Phổ cập giáo dục </t>
  </si>
  <si>
    <t xml:space="preserve">IV </t>
  </si>
  <si>
    <t xml:space="preserve"> Cơ sở vật chất trường học </t>
  </si>
  <si>
    <t>Trường</t>
  </si>
  <si>
    <t>Trường Mầm non</t>
  </si>
  <si>
    <t>Tr. đó:  Trường đạt chuẩn Quốc gia</t>
  </si>
  <si>
    <t>Các trường phổ thông</t>
  </si>
  <si>
    <t xml:space="preserve"> 2.1</t>
  </si>
  <si>
    <t xml:space="preserve"> Trường Tiểu học</t>
  </si>
  <si>
    <t xml:space="preserve">   - Số trường PTDTBT</t>
  </si>
  <si>
    <t>2.2</t>
  </si>
  <si>
    <t xml:space="preserve"> Trường THCS</t>
  </si>
  <si>
    <t>Trong đó: Trường đạt chuẩn Quốc gia</t>
  </si>
  <si>
    <t>2.3</t>
  </si>
  <si>
    <t xml:space="preserve"> Trường THPT</t>
  </si>
  <si>
    <t>Tr. đó: Trường đạt chuẩn Quốc gia</t>
  </si>
  <si>
    <t>Trung tâm GDTX huyện, tỉnh</t>
  </si>
  <si>
    <t xml:space="preserve">Đơn vị tính </t>
  </si>
  <si>
    <t>Chỉ tiêu hoạt động:</t>
  </si>
  <si>
    <t>%o</t>
  </si>
  <si>
    <t>Tỷ lệ trẻ sơ sinh dưới 2500 gr</t>
  </si>
  <si>
    <t>Tỷ lệ dân số dùng muối Iốt</t>
  </si>
  <si>
    <t>1/100.000</t>
  </si>
  <si>
    <t>HIV/AIDS còn sống</t>
  </si>
  <si>
    <t>Thuốc tiêu dùng bình quân người/năm</t>
  </si>
  <si>
    <t>Đồng</t>
  </si>
  <si>
    <t>Cơ sở cung cấp dịch vụ y tế</t>
  </si>
  <si>
    <t>Tuyến huyện</t>
  </si>
  <si>
    <t>Phòng khám đa khoa khu vực</t>
  </si>
  <si>
    <t>Đội y tế dự phòng</t>
  </si>
  <si>
    <t>Đội</t>
  </si>
  <si>
    <t>Trạm</t>
  </si>
  <si>
    <t>Giường</t>
  </si>
  <si>
    <t>1/10.000</t>
  </si>
  <si>
    <t>Giường bệnh Bệnh viện huyện</t>
  </si>
  <si>
    <t>Giường bệnh trạm y tế xã (giường lưu)</t>
  </si>
  <si>
    <t>Tỷ lệ bản có Nhân viên y tế thôn bản</t>
  </si>
  <si>
    <t>V</t>
  </si>
  <si>
    <t>Xã</t>
  </si>
  <si>
    <t>VI</t>
  </si>
  <si>
    <t>Dân số - Kế hoạch hóa gia đình</t>
  </si>
  <si>
    <t>Dân số</t>
  </si>
  <si>
    <t>Dân số trung bình</t>
  </si>
  <si>
    <t>Người</t>
  </si>
  <si>
    <t xml:space="preserve"> - Tỷ lệ sinh</t>
  </si>
  <si>
    <t xml:space="preserve"> - Mức giảm tỷ lệ sinh</t>
  </si>
  <si>
    <t xml:space="preserve"> - Tỷ lệ phát triển dân số</t>
  </si>
  <si>
    <t>Dân số phân theo giới tính</t>
  </si>
  <si>
    <t xml:space="preserve"> - Dân số nam</t>
  </si>
  <si>
    <t xml:space="preserve">     Tỷ lệ so với tổng dân số</t>
  </si>
  <si>
    <t xml:space="preserve"> - Dân số nữ</t>
  </si>
  <si>
    <t xml:space="preserve">    Tỷ lệ so với tổng dân số</t>
  </si>
  <si>
    <t>Dân số phân theo thành thị, nông thôn</t>
  </si>
  <si>
    <t xml:space="preserve"> - Dân số thành thị</t>
  </si>
  <si>
    <t xml:space="preserve"> - Dân số nông thôn</t>
  </si>
  <si>
    <t>Kế hoạch hóa gia đình:</t>
  </si>
  <si>
    <t xml:space="preserve"> - Tỷ lệ nữ từ 15 - 49 tuổi so với dân số</t>
  </si>
  <si>
    <t xml:space="preserve"> - Tỷ lệ các cặp vợ chồng thực hiện các biện pháp tránh thai</t>
  </si>
  <si>
    <t xml:space="preserve"> - Tỷ lệ các bà mẹ sinh con thứ 3 trở lên so với tổng số bà mẹ sinh con trong năm</t>
  </si>
  <si>
    <t xml:space="preserve"> Chỉ tiêu hoạt động</t>
  </si>
  <si>
    <t>nt</t>
  </si>
  <si>
    <t>Đơn vị</t>
  </si>
  <si>
    <t>Di tích</t>
  </si>
  <si>
    <t>Thể thao quần chúng</t>
  </si>
  <si>
    <t>CLB</t>
  </si>
  <si>
    <t>Thể thao thành tích cao</t>
  </si>
  <si>
    <t>VĐV</t>
  </si>
  <si>
    <t>HC</t>
  </si>
  <si>
    <t>Điểm</t>
  </si>
  <si>
    <t>Hộ</t>
  </si>
  <si>
    <t xml:space="preserve"> - Tổng số trường đạt chuẩn Q.gia</t>
  </si>
  <si>
    <t xml:space="preserve"> - Tổng số trường PTDTBT</t>
  </si>
  <si>
    <t>CHỈ TIÊU</t>
  </si>
  <si>
    <t>I</t>
  </si>
  <si>
    <t xml:space="preserve"> </t>
  </si>
  <si>
    <t>a</t>
  </si>
  <si>
    <t>b</t>
  </si>
  <si>
    <t>c</t>
  </si>
  <si>
    <t>II</t>
  </si>
  <si>
    <t>III</t>
  </si>
  <si>
    <t>IV</t>
  </si>
  <si>
    <t>*</t>
  </si>
  <si>
    <t>A</t>
  </si>
  <si>
    <t>C</t>
  </si>
  <si>
    <t>Biểu 02</t>
  </si>
  <si>
    <t>Biểu 03</t>
  </si>
  <si>
    <t>Biểu 01</t>
  </si>
  <si>
    <t>ĐVT</t>
  </si>
  <si>
    <t>Trong đó</t>
  </si>
  <si>
    <t>Xá Nhè</t>
  </si>
  <si>
    <t>Tấn</t>
  </si>
  <si>
    <t>Ha</t>
  </si>
  <si>
    <t>T/ha</t>
  </si>
  <si>
    <t>Diện tích</t>
  </si>
  <si>
    <t>Năng xuất</t>
  </si>
  <si>
    <t>Sản lượng</t>
  </si>
  <si>
    <t>Lúa mùa</t>
  </si>
  <si>
    <t>Ngô đông</t>
  </si>
  <si>
    <t>Cây công nghiệp</t>
  </si>
  <si>
    <t>Sắn</t>
  </si>
  <si>
    <t>Khoai</t>
  </si>
  <si>
    <t>Dong riềng</t>
  </si>
  <si>
    <t>Đậu tương xuân</t>
  </si>
  <si>
    <t>Đậu tương mùa</t>
  </si>
  <si>
    <t>Bông</t>
  </si>
  <si>
    <t>Lạc</t>
  </si>
  <si>
    <t>Sản lượng búp tươi</t>
  </si>
  <si>
    <t>Chăn nuôi</t>
  </si>
  <si>
    <t>Đàn trâu</t>
  </si>
  <si>
    <t>Con</t>
  </si>
  <si>
    <t>Đàn bò</t>
  </si>
  <si>
    <t>Đàn lợn</t>
  </si>
  <si>
    <t>Đàn dê</t>
  </si>
  <si>
    <t>Diện tích nuôi trồng</t>
  </si>
  <si>
    <t>Sản lượng nuôi trồng</t>
  </si>
  <si>
    <t>Sản lượng khai thác</t>
  </si>
  <si>
    <t>Lâm nghiệp</t>
  </si>
  <si>
    <t>Độ che phủ rừng</t>
  </si>
  <si>
    <t>1.1</t>
  </si>
  <si>
    <t>1.2</t>
  </si>
  <si>
    <t>Công nghiệp</t>
  </si>
  <si>
    <t>Tỷ. Đ</t>
  </si>
  <si>
    <t>Trong đó: Q. doanh</t>
  </si>
  <si>
    <t>Chia ra: Q. doanh TW</t>
  </si>
  <si>
    <t>- Quốc doanh địa
 phương</t>
  </si>
  <si>
    <t>- Ngoài quốc doanh</t>
  </si>
  <si>
    <t>- KV có vốn ĐTNN</t>
  </si>
  <si>
    <t>Sản lượng 1 số
 SPCN chủ yếu</t>
  </si>
  <si>
    <t>Điện phát ra</t>
  </si>
  <si>
    <t>TrKwh</t>
  </si>
  <si>
    <t>Tr viên</t>
  </si>
  <si>
    <t>Ngói</t>
  </si>
  <si>
    <t>Sản phẩm may mặc</t>
  </si>
  <si>
    <t>SP</t>
  </si>
  <si>
    <t>Xay sát gạo ngô</t>
  </si>
  <si>
    <t>Bột giấy</t>
  </si>
  <si>
    <t>Phân vi sinh</t>
  </si>
  <si>
    <t>Bê tông đúc sẵn</t>
  </si>
  <si>
    <t>m3</t>
  </si>
  <si>
    <t>Trang in</t>
  </si>
  <si>
    <t>Tr.trang</t>
  </si>
  <si>
    <t>Nước sạch</t>
  </si>
  <si>
    <t>Dịch vụ</t>
  </si>
  <si>
    <t>Tổng mức B.lẻ HH&amp; DV</t>
  </si>
  <si>
    <t>Vận tải hành khách</t>
  </si>
  <si>
    <t>Hành khách vận chuyển</t>
  </si>
  <si>
    <t>Hành khách luân chuyển</t>
  </si>
  <si>
    <t>1000Ng/km</t>
  </si>
  <si>
    <t>Vận tải hàng hóa</t>
  </si>
  <si>
    <t>Hàng hóa vận chuyển</t>
  </si>
  <si>
    <t>Hàng hóa luân chuyển</t>
  </si>
  <si>
    <t>1000Tấn/km</t>
  </si>
  <si>
    <t>Số hộ cận nghèo</t>
  </si>
  <si>
    <t>GTSXCN ( Theo giá 94)</t>
  </si>
  <si>
    <t>- Quốc doanh địa phương</t>
  </si>
  <si>
    <t>Sản lượng 1 số  SPCN chủ yếu</t>
  </si>
  <si>
    <t>Đá xây dựng</t>
  </si>
  <si>
    <t>triệu m3</t>
  </si>
  <si>
    <t xml:space="preserve"> T đó. Nữ</t>
  </si>
  <si>
    <t xml:space="preserve">          - Dân số thành thị</t>
  </si>
  <si>
    <t>Lĩnh vực gia đình</t>
  </si>
  <si>
    <t>3</t>
  </si>
  <si>
    <t>4</t>
  </si>
  <si>
    <t>Bảo tồn di sản văn hóa</t>
  </si>
  <si>
    <t>Lễ</t>
  </si>
  <si>
    <t>1</t>
  </si>
  <si>
    <t>Gia đình</t>
  </si>
  <si>
    <t>1.7</t>
  </si>
  <si>
    <t>Lớp</t>
  </si>
  <si>
    <t>2</t>
  </si>
  <si>
    <t>Giải</t>
  </si>
  <si>
    <t>Cuộc</t>
  </si>
  <si>
    <t>Số đợt tập huấn cho HLV thể thao tại TW</t>
  </si>
  <si>
    <t>Đợt</t>
  </si>
  <si>
    <t>Lĩnh vực du lịch</t>
  </si>
  <si>
    <t>Số lượt khách du lịch đến Điện Biên</t>
  </si>
  <si>
    <t>1000 Lượt người</t>
  </si>
  <si>
    <t>Trong đó:  Số lượt khách khách Quốc tế:</t>
  </si>
  <si>
    <t xml:space="preserve"> Thu nhập XH từ hoạt động du lịch (Tỷ đồng) </t>
  </si>
  <si>
    <t>tỷ đồng</t>
  </si>
  <si>
    <t>Số ngày lưu trú bình quân của  khách nội địa</t>
  </si>
  <si>
    <t>ngày</t>
  </si>
  <si>
    <t>5</t>
  </si>
  <si>
    <t xml:space="preserve"> Số ngày lưu trú bình quân của  khách quốc tế:</t>
  </si>
  <si>
    <t>6</t>
  </si>
  <si>
    <t xml:space="preserve">  Số bản đủ tiêu chuẩn đón khách du lịch quốc tế</t>
  </si>
  <si>
    <t>bản</t>
  </si>
  <si>
    <t>7</t>
  </si>
  <si>
    <t>Số khu du lịch được quy hoạch chi tiết ( Điện Biên Phủ - Pá Khoang – Mường Phăng)</t>
  </si>
  <si>
    <t>Khu</t>
  </si>
  <si>
    <t>8</t>
  </si>
  <si>
    <t>Số điểm du lịch được quy hoạch chi tiết ( Khoáng nóng Bản sáng; lòng hồ Mường Lay)</t>
  </si>
  <si>
    <t>9</t>
  </si>
  <si>
    <t xml:space="preserve">Số khu điểm du lịch được triển khai theo quy hoạch chi tiết </t>
  </si>
  <si>
    <t xml:space="preserve">Năng xuất </t>
  </si>
  <si>
    <t>Lúa nương</t>
  </si>
  <si>
    <t>- Tổng số lớp</t>
  </si>
  <si>
    <t>1000m3</t>
  </si>
  <si>
    <t>GTSXCN ( giá SS 2010)</t>
  </si>
  <si>
    <t>Cơ quan</t>
  </si>
  <si>
    <t>X.Phường</t>
  </si>
  <si>
    <t>PHÁT TRIỂN DOANH NGHIỆP</t>
  </si>
  <si>
    <t>Trong đó: Doanh nghiệp nhỏ và vừa</t>
  </si>
  <si>
    <t>PHÁT TRIỂN KINH TẾ TẬP THỂ</t>
  </si>
  <si>
    <t>Trong đó: Xã viên mới</t>
  </si>
  <si>
    <t>- Tổng doanh thu hợp tác xã</t>
  </si>
  <si>
    <t>Triệu đồng</t>
  </si>
  <si>
    <t>Trong đó: doanh thu cung ứng cho xã viên</t>
  </si>
  <si>
    <t>- Tổng số lãi trước thuế của hợp tác xã</t>
  </si>
  <si>
    <t>Trong đó: + Số có trình độ trung cấp, cao đẳng</t>
  </si>
  <si>
    <t xml:space="preserve">              + Số có trình độ Đại học trở lên</t>
  </si>
  <si>
    <t>- Thu nhập bình quân một lao động của HTX</t>
  </si>
  <si>
    <t>PHÁT TRIỂN KINH TẾ TƯ NHÂN</t>
  </si>
  <si>
    <t>Trong đó: Đăng ký mới</t>
  </si>
  <si>
    <t>Gạch xây</t>
  </si>
  <si>
    <t>Tổng số trẻ mầm non</t>
  </si>
  <si>
    <t>Tổng số lớp và nhóm trẻ</t>
  </si>
  <si>
    <t>- Số nhóm trẻ</t>
  </si>
  <si>
    <t>- Số lớp mẫu giáo</t>
  </si>
  <si>
    <t>- Số lớp 5 tuổi</t>
  </si>
  <si>
    <t>Nhóm</t>
  </si>
  <si>
    <t>1.3</t>
  </si>
  <si>
    <t>Các tỷ lệ huy động</t>
  </si>
  <si>
    <t>2.1</t>
  </si>
  <si>
    <t>Tổng số học sinh</t>
  </si>
  <si>
    <t xml:space="preserve">Tổng số lớp </t>
  </si>
  <si>
    <t>So sánh %</t>
  </si>
  <si>
    <t>Lúa  Đông Xuân</t>
  </si>
  <si>
    <t>Đàn gia cầm</t>
  </si>
  <si>
    <t>Huyện</t>
  </si>
  <si>
    <t>Thôn, bản</t>
  </si>
  <si>
    <t>Nông nghiệp</t>
  </si>
  <si>
    <t>Sản xuất cây lương thực</t>
  </si>
  <si>
    <t>Cây ngô</t>
  </si>
  <si>
    <t>Khai hoang phục hóa tạo bậc thang</t>
  </si>
  <si>
    <t xml:space="preserve">Cây Đậu tương </t>
  </si>
  <si>
    <t>Cây lúa</t>
  </si>
  <si>
    <t>Tổng sản lượng thủy sản</t>
  </si>
  <si>
    <t>Trồng rừng tập trung (rừng phòng hộ)</t>
  </si>
  <si>
    <t>Cây phong trào phân tán</t>
  </si>
  <si>
    <t>Sản lượng 1 số SPCN chủ yếu</t>
  </si>
  <si>
    <t>Nước máy sản xuất</t>
  </si>
  <si>
    <t>Thương mại</t>
  </si>
  <si>
    <t>Vận tải</t>
  </si>
  <si>
    <t>Lực lượng lao động</t>
  </si>
  <si>
    <t xml:space="preserve">  Tỷ lệ so với Lực lượng lao động</t>
  </si>
  <si>
    <t xml:space="preserve"> Số người lạm dụng ma tuý (có hồ sơ quản lý)</t>
  </si>
  <si>
    <t>Biểu 04</t>
  </si>
  <si>
    <t xml:space="preserve"> Biểu 05</t>
  </si>
  <si>
    <t>Biểu 07</t>
  </si>
  <si>
    <t>Biểu số 8</t>
  </si>
  <si>
    <t xml:space="preserve">Trong đó </t>
  </si>
  <si>
    <t>Tỷ lệ hộ cận nghèo</t>
  </si>
  <si>
    <t xml:space="preserve"> Cây</t>
  </si>
  <si>
    <t>- Trồng theo QĐ 1386/QĐ-UBND ngày 14/12/2015 của UBND tỉnh Điện Biên</t>
  </si>
  <si>
    <t>Bưu chính viễn thông</t>
  </si>
  <si>
    <t>Bưu chính</t>
  </si>
  <si>
    <t>Số xã có điểm bưu điện văn hóa xã</t>
  </si>
  <si>
    <t>Tỷ lệ xã có điểm bưu điện văn hóa xã</t>
  </si>
  <si>
    <t>Số dân phục vụ bình quân</t>
  </si>
  <si>
    <t>Bán kính phục vụ bình quân</t>
  </si>
  <si>
    <t>Km/điểm</t>
  </si>
  <si>
    <t>Tổng số doanh thu phục vụ bưu chính</t>
  </si>
  <si>
    <t>Triệu</t>
  </si>
  <si>
    <t>Thuê bao</t>
  </si>
  <si>
    <t>Máy</t>
  </si>
  <si>
    <t>Tổng số doanh thu phục vụ viễn thông</t>
  </si>
  <si>
    <t>Internet</t>
  </si>
  <si>
    <t>Số thuê bao internet trung bình 100 dân</t>
  </si>
  <si>
    <t>Tổng số doanh thu phục vụ internet</t>
  </si>
  <si>
    <t>- Rừng phòng hộ</t>
  </si>
  <si>
    <t>Lĩnh vực văn hóa gia đình</t>
  </si>
  <si>
    <t xml:space="preserve"> Tổng số trẻ em có hoàn cảnh đặc biệt</t>
  </si>
  <si>
    <t>III.1</t>
  </si>
  <si>
    <t>Số người được điều trị Methadone</t>
  </si>
  <si>
    <t>III.2</t>
  </si>
  <si>
    <t>III.3</t>
  </si>
  <si>
    <t xml:space="preserve"> Bảo hiểm xã hội</t>
  </si>
  <si>
    <t>Tỷ lệ người dân tham gia Bảo hiểm Y tế</t>
  </si>
  <si>
    <t>Phát triển thiết chế văn hóa, thể thao cơ sở</t>
  </si>
  <si>
    <t>- Tỷ lệ thôn, bản có sân bóng đá mi ni</t>
  </si>
  <si>
    <t xml:space="preserve">- Số di tích được khoanh vùng cắm mốc </t>
  </si>
  <si>
    <t>- Số lễ hội của các dân tộc thiểu số được nghiên cứu, bảo tồn;</t>
  </si>
  <si>
    <t>Lĩnh vựcThể dục, thể thao</t>
  </si>
  <si>
    <t>- Số vận động viên đẳng cấp kiện tướng QG</t>
  </si>
  <si>
    <t>-  Số  vận động viên cấp 1 QG</t>
  </si>
  <si>
    <t>- Số huy chương các loại đạt được hàng năm</t>
  </si>
  <si>
    <t>Tr. Đó: - Tuyến I - Tập trung</t>
  </si>
  <si>
    <r>
      <t xml:space="preserve">             </t>
    </r>
    <r>
      <rPr>
        <i/>
        <sz val="12"/>
        <rFont val="Times New Roman"/>
        <family val="1"/>
      </rPr>
      <t xml:space="preserve"> - Tuyến II - Bán tập trung</t>
    </r>
  </si>
  <si>
    <t>Ngô hè thu</t>
  </si>
  <si>
    <t>Ngô xuân</t>
  </si>
  <si>
    <t>Thị trấn</t>
  </si>
  <si>
    <t>Điện sản xuất</t>
  </si>
  <si>
    <t>Tỷ lệ trạm y tế xã có bác sỹ hoạt động</t>
  </si>
  <si>
    <t xml:space="preserve">Tổng số giường bệnh toàn huyện </t>
  </si>
  <si>
    <t>Trong đó: Giường Quốc lập</t>
  </si>
  <si>
    <t>Tỷ lệ giường bệnh Quốc lập/vạn dân</t>
  </si>
  <si>
    <t>Tỷ lệ Dược sỹ đại học/vạn dân</t>
  </si>
  <si>
    <t>Tỷ lệ Bác sỹ/vạn dân</t>
  </si>
  <si>
    <t xml:space="preserve">Biểu 06 </t>
  </si>
  <si>
    <t>- Rừng thay thế</t>
  </si>
  <si>
    <t>- Trồng rừng sản xuất (nguồn vốn chương trình 30a và các nguồn vốn khác)</t>
  </si>
  <si>
    <t>Cây lương thực khác</t>
  </si>
  <si>
    <t>Sản lượng chè thương phẩm</t>
  </si>
  <si>
    <t>Đàn ngựa</t>
  </si>
  <si>
    <t>VII</t>
  </si>
  <si>
    <t>- Cây phong trào</t>
  </si>
  <si>
    <t>- Cây phân tán</t>
  </si>
  <si>
    <t>Cây</t>
  </si>
  <si>
    <t xml:space="preserve">Khoanh nuôi tái sinh </t>
  </si>
  <si>
    <t>Kế hoạch giao năm 2019</t>
  </si>
  <si>
    <t>Đá xây dựng khác</t>
  </si>
  <si>
    <t xml:space="preserve"> Tổng số trẻ em có hoàn cảnh đặc biệt khó khăn được hưởng trợ cấp tại cộng đồng</t>
  </si>
  <si>
    <t xml:space="preserve">  Số xã, thị trấn đạt tiêu chuẩn phù hợp với trẻ em</t>
  </si>
  <si>
    <t>- Tỷ lệ  xã, thị trấn đạt tiêu chuẩn phù hợp với trẻ em</t>
  </si>
  <si>
    <t xml:space="preserve"> Số trẻ em mồ côi được nuôi dưỡng tại Trung tâm Bảo trợ xã hội tỉnh</t>
  </si>
  <si>
    <t>Xã, thị trấn</t>
  </si>
  <si>
    <t>Số trẻ em mồ côi được nuôi dưỡng tại Làng trẻ em SOS Điện Biên Phủ</t>
  </si>
  <si>
    <t>Số trẻ em không nơi nương tựa được nhận nuôi dưỡng tại cộng đồng</t>
  </si>
  <si>
    <t>Số vụ bạo hành trẻ em được phát hiện</t>
  </si>
  <si>
    <t>Vụ</t>
  </si>
  <si>
    <t>Số cán bộ làm công tác bảo vệ trẻ em/cán bộ công tác xã hội các cấp tham gia quản lý trường hợp</t>
  </si>
  <si>
    <t>Số vụ bạo hành trẻ em được xử lý</t>
  </si>
  <si>
    <t>Số hộ tái nghèo, phát sinh nghèo</t>
  </si>
  <si>
    <t xml:space="preserve"> - Tốc độ phát triển số người tham gia BHXH bắt buộc</t>
  </si>
  <si>
    <t xml:space="preserve"> Trong đó dạy nghề cho lao động nông thôn</t>
  </si>
  <si>
    <t xml:space="preserve">Tổng số </t>
  </si>
  <si>
    <t>Tr. đó: - Trường PT DTNT huyện</t>
  </si>
  <si>
    <t>Tr. đó: - Các trường PT DTNT tỉnh, huyện</t>
  </si>
  <si>
    <t xml:space="preserve">  - Tổng số trường đạt chuẩn Q.gia</t>
  </si>
  <si>
    <t>2.1. Trường Tiểu học</t>
  </si>
  <si>
    <t>Tr. đó:  - Trường đạt chuẩn Quốc gia</t>
  </si>
  <si>
    <t>2.2. Trường THCS</t>
  </si>
  <si>
    <t>Trong đó: trường đạt chuẩn Quốc gia</t>
  </si>
  <si>
    <t>2.3. Trường THPT</t>
  </si>
  <si>
    <t>- Tỷ lệ học sinh nữ/tổng số học sinhsinh</t>
  </si>
  <si>
    <t>Học sinh</t>
  </si>
  <si>
    <t xml:space="preserve"> Trung tâm Giáo dục nghề nghiệp - Giáo dục thường xuyên huyện</t>
  </si>
  <si>
    <t>Trung
 tâm</t>
  </si>
  <si>
    <t>Tủa
 Thàng</t>
  </si>
  <si>
    <t>Mường Đun</t>
  </si>
  <si>
    <t>Mường Báng</t>
  </si>
  <si>
    <t>Sính Phình</t>
  </si>
  <si>
    <t>Trung Thu</t>
  </si>
  <si>
    <t>Tả Phìn</t>
  </si>
  <si>
    <t>Lao Xả Phình</t>
  </si>
  <si>
    <t>Tả Sìn Thàng</t>
  </si>
  <si>
    <t>Sín Chải</t>
  </si>
  <si>
    <t>Huổi Só</t>
  </si>
  <si>
    <t>Xá 
Nhè</t>
  </si>
  <si>
    <t>- Tỷ lệ huy động trẻ từ 3 tháng đến dưới 36 tháng ra lớp</t>
  </si>
  <si>
    <t>- Tỷ lệ huy động trẻ từ 3-5 tuổi ra lớp</t>
  </si>
  <si>
    <t>Phổ cập giáo dục - Xóa mù chữ</t>
  </si>
  <si>
    <t>Tổng số xã, thị trấn</t>
  </si>
  <si>
    <t>Xã, 
thị trấn</t>
  </si>
  <si>
    <t>Số xã, thị trấn đạt chuẩn PC GDTHCS mức độ 1</t>
  </si>
  <si>
    <t>Số xã, thị trấn đạt chuẩn xóa mù chữ mức độ 1</t>
  </si>
  <si>
    <t>Số xã, thị trấn đạt chuẩn xóa mù chữ mức độ 2</t>
  </si>
  <si>
    <t xml:space="preserve"> Cơ sở giáo dục</t>
  </si>
  <si>
    <t>Phát triển trẻ thơ</t>
  </si>
  <si>
    <t>Số nhân viên nấu ăn có chứng chỉ nghề nấu ăn</t>
  </si>
  <si>
    <t>Số điểm trường mầm non có nhà vệ sinh hợp vệ sinh</t>
  </si>
  <si>
    <t>Số điểm trường mầm non có nguồn nước sử dụng hợp vệ sinh</t>
  </si>
  <si>
    <t>Số nhóm/lớp mầm non có đủ thiết bị, đồ dùng, đồ chơi tối thiểu theo quy định</t>
  </si>
  <si>
    <t>Số điểm trường mầm non có 05 loại đồ chơi ngoài trời trở lên trong danh mục quy định</t>
  </si>
  <si>
    <t>Các chỉ tiêu phát triển thiên niên kỷ đối với đồng bào dân tộc thiểu số</t>
  </si>
  <si>
    <t>Điểm trường</t>
  </si>
  <si>
    <t xml:space="preserve"> Tỷ số tử vong mẹ/100.000 trẻ đẻ sống</t>
  </si>
  <si>
    <t>Bà mẹ</t>
  </si>
  <si>
    <t xml:space="preserve"> Tỷ lệ trẻ nhỏ được bú mẹ hoàn toàn trong 6 tháng đầu</t>
  </si>
  <si>
    <t>Tỷ lệ Bướu cổ trẻ em từ 8 - 10 tuổi</t>
  </si>
  <si>
    <t>Tỷ lệ hộ gia đình sử dụng nhà tiêu vệ sinh hợp vệ sinh</t>
  </si>
  <si>
    <t xml:space="preserve"> - Tỷ lệ dân số tăng tự nhiên</t>
  </si>
  <si>
    <t>- Tỷ số giới tính khi sinh</t>
  </si>
  <si>
    <t>VIII</t>
  </si>
  <si>
    <t>Phòng chống HIV/ADS</t>
  </si>
  <si>
    <t>Tỷ lệ người nhiễm HIV có nhu cầu điều trị bằng thuốc ARV tiếp cận được thuốc ARV</t>
  </si>
  <si>
    <t xml:space="preserve">Giảm tỷ lệ nhiễm HIV của trẻ em sinh ra từ mẹ nhiễm HIV </t>
  </si>
  <si>
    <t>Số người người nghiện các chất dạng thuốc phiện được điều trị thay thế bằng thuốc Methadone</t>
  </si>
  <si>
    <t>Tỷ lệ trẻ 18 tháng tuổi tiêm sởi - rubella</t>
  </si>
  <si>
    <t>Tỷ lệ trẻ 18 tháng tuổi tiêm DPT mũi 4</t>
  </si>
  <si>
    <t>Tỷ lệ trẻ 1 - 5 tuổi tiêm viêm não 2 mũi cơ bản</t>
  </si>
  <si>
    <t>Tỷ lệ trẻ 2 - 5 tuổi tiêm viêm não mũi 3</t>
  </si>
  <si>
    <t>Tỷ lệ trẻ em &lt; 6 tuổi bị khuyết tật tại cộng đồng được phát hiện, can thiệp sớm</t>
  </si>
  <si>
    <t>Tỷ lệ phụ nữ đẻ tại cơ sở y tế</t>
  </si>
  <si>
    <t>Tỷ lệ bà mẹ và trẻ sơ sinh được nhân viên y tế chăm sóc tuần đầu sau sinh</t>
  </si>
  <si>
    <t>IX</t>
  </si>
  <si>
    <t>Phát triển trẻ thơ toàn diện từ năm 2019</t>
  </si>
  <si>
    <t>- Số thôn bản toàn huyện</t>
  </si>
  <si>
    <t xml:space="preserve">Số di sản văn hóa phi vật thể được lập hồ sơ khoa học đề nghị đưa vào Danh mục DSVH phi vật thể quốc gia </t>
  </si>
  <si>
    <t>DSVH</t>
  </si>
  <si>
    <t>Số di sản văn hóa phi vật thể được đưa vào Danh mục DSVH phi vật thể quốc gia</t>
  </si>
  <si>
    <t>Số di sản văn hóa phi vật thể được lập hồ sơ khoa học trình UNESCO đề nghị công nhận là di sản văn hóa phi vật thể đại diện của nhân loại</t>
  </si>
  <si>
    <t xml:space="preserve"> Số loại hình văn hóa phi vật thể của các dân tộc thiểu số được bảo tồn hàng năm</t>
  </si>
  <si>
    <t>Loại hình</t>
  </si>
  <si>
    <t>Tỷ lệ các dân tộc được kiểm kê, đánh giá về di sản văn hóa</t>
  </si>
  <si>
    <t>Tỷ lệ các dân tộc có các giá trị di sản văn hóa, tiêu biểu, đại diện được bảo tồn, phát huy</t>
  </si>
  <si>
    <t xml:space="preserve"> Số lượt khách đến tham quan bảo tàng và các điểm di tích</t>
  </si>
  <si>
    <t>Lượt người</t>
  </si>
  <si>
    <t xml:space="preserve"> Trong đó, lượt khách quốc tế</t>
  </si>
  <si>
    <t xml:space="preserve"> Số di tích lịch sử được xếp hạng đến cuối kỳ báo cáo</t>
  </si>
  <si>
    <t xml:space="preserve"> Trong đó, số di tích mới được xếp hạng trong kì</t>
  </si>
  <si>
    <t>Số thuê bao điện thoại cố định</t>
  </si>
  <si>
    <t>Số thuê bao điện thoại di động</t>
  </si>
  <si>
    <t>Số thuê bao điện thoại di động trung bình 100 dân</t>
  </si>
  <si>
    <t>Tổng số giờ tiếp, phát sóng phát thanh TW</t>
  </si>
  <si>
    <t>Số giờ phát, tiếp sóng phát thanh địa phương</t>
  </si>
  <si>
    <t>Số Đài Truyền thanh không dây</t>
  </si>
  <si>
    <t>Số hộ nghe được Đài Tiếng nói Việt Nam</t>
  </si>
  <si>
    <t>Tỷ lệ hộ nghe được Đài Tiếng nói Việt Nam</t>
  </si>
  <si>
    <t>Tỷ lệ xã, phường được phủ sóng truyền thanh địa phương</t>
  </si>
  <si>
    <t>Số hộ nghe được Đài phát thanh địa phương</t>
  </si>
  <si>
    <t>Tỷ lệ hộ nghe được đài phát thanh địa phương</t>
  </si>
  <si>
    <t>Giờ/năm</t>
  </si>
  <si>
    <t>Đài</t>
  </si>
  <si>
    <t>Số xã, thị trấn có Đài truyền thanh không dây</t>
  </si>
  <si>
    <t>Tỷ lệ xã,thị trấn có Đài truyền thanh không dây</t>
  </si>
  <si>
    <t>Số xã, thị trấn được phủ sóng truyền thanh địa phương</t>
  </si>
  <si>
    <t>Số giờ tiếp, phát sóng truyền hình TW</t>
  </si>
  <si>
    <t>Số hộ xem được Đài Truyền hình Việt Nam</t>
  </si>
  <si>
    <t>Tỷ lệ hộ xem được Đài Truyền hình Việt Nam</t>
  </si>
  <si>
    <t>Số xã, phường được phủ sóng truyền hình tỉnh</t>
  </si>
  <si>
    <t>Tỷ lệ xã, phường được phủ sóng truyền hình tỉnh</t>
  </si>
  <si>
    <t>Số hộ xem được đài truyền hình địa phương</t>
  </si>
  <si>
    <t>Tỷ lệ hộ xem được đài truyền hình địa phương</t>
  </si>
  <si>
    <t>Công nghệ thông tin</t>
  </si>
  <si>
    <t>Máy chủ</t>
  </si>
  <si>
    <t>Máy</t>
  </si>
  <si>
    <t>Máy trạm</t>
  </si>
  <si>
    <t>Tỷ lệ cán bộ, công chức tại các cơ quan chuyên môn được trang bị máy tính</t>
  </si>
  <si>
    <t>- Cấp huyện</t>
  </si>
  <si>
    <t>- Cấp xã</t>
  </si>
  <si>
    <t>Tỷ lệ máy tính có kết nối Internet</t>
  </si>
  <si>
    <t>Tỷ lệ cán bộ, công chức được cấp và thường xuyên sử dụng phần mềm quản lý văn bản và điều hành</t>
  </si>
  <si>
    <t>Tỷ lệ cán bộ, công chức thường xuyên sử dụng thư điện tử trong công việc</t>
  </si>
  <si>
    <t>Số dịch vụ công trực tuyến được cung cấp</t>
  </si>
  <si>
    <t>Tỷ lệ dịch vụ công trực tuyến so với tổng số dịch vụ công</t>
  </si>
  <si>
    <t>Trạm y tế xã, thị trấn</t>
  </si>
  <si>
    <t>Tỷ lệ xã, thị trấn có trạm y tế</t>
  </si>
  <si>
    <t xml:space="preserve"> Truyền hình </t>
  </si>
  <si>
    <t>Viễn Thông</t>
  </si>
  <si>
    <t>Phát thanh</t>
  </si>
  <si>
    <t>Phát thanh, truyền hình, công nghệ thông tin</t>
  </si>
  <si>
    <t>Tỷ lệ hộ nghèo dân tộc thiểu số</t>
  </si>
  <si>
    <t xml:space="preserve"> Hệ Sơ cấp và đào tạo nghề thường xuyên dưới 3 tháng</t>
  </si>
  <si>
    <t>- Khoanh nuôi tái sinh năm đầu</t>
  </si>
  <si>
    <t>- Khoanh nuôi tái sinh chuyển tiếp</t>
  </si>
  <si>
    <t>Chăm sóc rừng trồng</t>
  </si>
  <si>
    <t>Khoán bảo vệ rừng</t>
  </si>
  <si>
    <t>Số người dân tham gia Bảo hiểm Y tế</t>
  </si>
  <si>
    <t>Tổng số thuê bao điện thoại</t>
  </si>
  <si>
    <t xml:space="preserve">Số thuê bao intrnet </t>
  </si>
  <si>
    <t xml:space="preserve"> MỘT SỐ CHỈ TIÊU KINH TẾ CHỦ YẾU NĂM 2020 HUYỆN TỦA CHÙA</t>
  </si>
  <si>
    <t xml:space="preserve"> Thực hiện
 năm 2019</t>
  </si>
  <si>
    <t>Tổng diện tích gieo trồng cây lương thực có hạt</t>
  </si>
  <si>
    <t>Tổng sản lượng lương thực có hạt</t>
  </si>
  <si>
    <t>Trong đó: - Sản lượng thóc</t>
  </si>
  <si>
    <t>- Sản lượng thóc ruộng</t>
  </si>
  <si>
    <t>- Cơ cấu thóc ruộng trong tổng sản lượng</t>
  </si>
  <si>
    <t>Năng suất lúa</t>
  </si>
  <si>
    <t>Tạ/ha</t>
  </si>
  <si>
    <t>Cây công nghiệp ngắn ngày</t>
  </si>
  <si>
    <t>Cây công nghiệp dài ngày</t>
  </si>
  <si>
    <t>Đơn 
vị tính</t>
  </si>
  <si>
    <t>Cây chè</t>
  </si>
  <si>
    <t>Thị Trấn</t>
  </si>
  <si>
    <t>Mường
 Báng</t>
  </si>
  <si>
    <t>Mường 
Đun</t>
  </si>
  <si>
    <t>Tủa 
Thàng</t>
  </si>
  <si>
    <t>Sính 
Phình</t>
  </si>
  <si>
    <t>Trung
 Thu</t>
  </si>
  <si>
    <t>Lao Xả 
Phình</t>
  </si>
  <si>
    <t>Tả Sìn 
Thàng</t>
  </si>
  <si>
    <t xml:space="preserve">Chăm sóc chè </t>
  </si>
  <si>
    <t>Kế hoạch giao năm 2020</t>
  </si>
  <si>
    <t>Kế hoạch giao năm 2020 với kết quả thực hiện năm 2019</t>
  </si>
  <si>
    <t xml:space="preserve"> Thực hiện năm 2019</t>
  </si>
  <si>
    <t>Nghìn tấn.km</t>
  </si>
  <si>
    <t>Nghìn người.km</t>
  </si>
  <si>
    <t>Tỷ đồng</t>
  </si>
  <si>
    <t>Triệu m3</t>
  </si>
  <si>
    <t>Triệu viên</t>
  </si>
  <si>
    <t>Giá trị sản xuất công nghiệp (giá so sánh)</t>
  </si>
  <si>
    <t>Tổng mức bán lẻ hàng hóa và dịch vụ giá hiện hành</t>
  </si>
  <si>
    <t>Nghìn người</t>
  </si>
  <si>
    <t>Nghìn tấn</t>
  </si>
  <si>
    <t>Sín
 Chải</t>
  </si>
  <si>
    <t>Huổi
 Só</t>
  </si>
  <si>
    <t>Thị
 Trấn</t>
  </si>
  <si>
    <t>Xá
 Nhè</t>
  </si>
  <si>
    <t>Tả
 Phìn</t>
  </si>
  <si>
    <t>12/12</t>
  </si>
  <si>
    <t>CHỈ TIÊU VỀ PHÁT TRIỂN SỰ NGHIỆP GIÁO DỤC - NĂM HỌC 2020-2021</t>
  </si>
  <si>
    <t xml:space="preserve">                   CHỈ TIÊU VỀ PHÁT TRIỂN SỰ NGHIỆP Y TẾ - NĂM 2020</t>
  </si>
  <si>
    <t>Thực hiện 2019</t>
  </si>
  <si>
    <t>Trung tâm Y tế huyện</t>
  </si>
  <si>
    <t>Trung tâm</t>
  </si>
  <si>
    <t>Tỷ lệ lao các thể mới được phát hiện trong năm</t>
  </si>
  <si>
    <t>Tỷ lệ mắc lao trong cộng đồng</t>
  </si>
  <si>
    <t>Tỷ lệ xã có trạm y tế (có tổ chức bộ máy trạm y tế)</t>
  </si>
  <si>
    <t>Thực hiện năm 2019</t>
  </si>
  <si>
    <t>CHỈ TIÊU HƯỚNG DẪN VỀ PHÁT TRIỂN SỰ NGHIỆP VĂN HOÁ - DU LỊCH - THỂ THAO NĂM 2020</t>
  </si>
  <si>
    <t xml:space="preserve">Kế hoạch giao năm 2020 </t>
  </si>
  <si>
    <t>CHỈ TIÊU VỀ PHÁT TRIỂN NGÀNH THÔNG TIN VÀ TRUYỀN THÔNG NĂM 2020</t>
  </si>
  <si>
    <t>Người/điểm</t>
  </si>
  <si>
    <t>Số xã, thị trấn có  trạm thu phát sóng thông tin di động 3G</t>
  </si>
  <si>
    <t>Số trạm thu phát sóng thông tin di động (BTS)</t>
  </si>
  <si>
    <t>Số xã, thị trấn cđược kết nối in tenet băng rộng</t>
  </si>
  <si>
    <t>Tỷ lệ xã, thị trấn cđược kết nối in tenet băng rộng</t>
  </si>
  <si>
    <t>CÁC CHỈ TIÊU PHÁT TRIỂN DOANH NGHIỆP VÀ KINH TẾ TẬP THỂ NĂM 2020</t>
  </si>
  <si>
    <t>Doah nghiệp</t>
  </si>
  <si>
    <t>Hợp tác xã</t>
  </si>
  <si>
    <t>Dịch vụ công trực tuyến</t>
  </si>
  <si>
    <t>- Tỷ lệ huy động trẻ 5 tuổi ra lớp</t>
  </si>
  <si>
    <t>Hướng nghiệp dạy nghề cho học sinh phổ thông</t>
  </si>
  <si>
    <t>- Tỷ lệ học sinh 6-10 tuổi học tiểu học</t>
  </si>
  <si>
    <t>Số xã, thị trấn đạt chuẩn phổ cập giáo dục tiểu học mức độ 1</t>
  </si>
  <si>
    <t>Số xã đạt chuẩn phổ cập giáo dục tiểu học mức độ 2</t>
  </si>
  <si>
    <t>Số xã, thị trấn đạt chuẩn phổ cập giáo dục tiểu học mức độ 3</t>
  </si>
  <si>
    <t>Số xã, thị trấn đạt chuẩnphổ cập giáo dục THCS mức độ 2</t>
  </si>
  <si>
    <t>Số xã, thị trấn đạt chuẩn phổ cập giáo dục THCS mức độ 3</t>
  </si>
  <si>
    <t>Số xã, phường, thị trấn đạt chuẩn văn minh đô thị</t>
  </si>
  <si>
    <t>10</t>
  </si>
  <si>
    <t>Tỷ lệ xã, phường, thị trấn đạt chuẩn văn minh đô thị</t>
  </si>
  <si>
    <t xml:space="preserve"> Tỷ lệ xã phường, thị trấn có ban chỉ đạo mô hình phòng chống bạo lực gia đình </t>
  </si>
  <si>
    <t xml:space="preserve">Tỷ lệ thôn, bản, tổ dân phố có câu lạc bộ gia đình phát triển bền vững </t>
  </si>
  <si>
    <t>Tỷ lệ gia đình được tuyên truyền phổ biến các luật có liên quan đến lĩnh vực gia đình</t>
  </si>
  <si>
    <t>Số trung tâm VH-TT cấp huyện</t>
  </si>
  <si>
    <t xml:space="preserve"> Huyện có nhà văn hóa, thể thao, thư viện </t>
  </si>
  <si>
    <t>Tổng số xã, Thị trấn</t>
  </si>
  <si>
    <t xml:space="preserve"> Số xã, thị trấn có nhà Văn hóa, thể thao</t>
  </si>
  <si>
    <t>Tỷ lệ xã, thị trấn có nhà Văn hóa, thể thao</t>
  </si>
  <si>
    <t>Số sân thể thao phổ thông cấp xã, thị trấn</t>
  </si>
  <si>
    <t>Tỷ lệ xã, thị trấn có sân thể thao phổ thông</t>
  </si>
  <si>
    <t>Số  phòng tập phổ thông cấp xã</t>
  </si>
  <si>
    <t>Tỷ lệ xã, thị trấn có phòng tập phổ thông</t>
  </si>
  <si>
    <t xml:space="preserve"> Số thôn bản, tổ dân phố có nhà văn hóa và điểm sin hoạt cộng đồng</t>
  </si>
  <si>
    <t xml:space="preserve"> Sân bóng đá mi ni tại thôn bản, tổ dân phố</t>
  </si>
  <si>
    <t xml:space="preserve"> Số  người tham gia luyện tập thường xuyên  ít nhất 01 môn thể thao;</t>
  </si>
  <si>
    <t>Tỷ lệ người tham gia luyện tập thường xuyên  ít nhất 01 môn thể thao trong tổng dân số toàn huyện</t>
  </si>
  <si>
    <t xml:space="preserve"> Số  gia đình dược công nhận danh hiệu gia đình thể thao</t>
  </si>
  <si>
    <t>Tỷ lệ gia đình được công nhận danh hiệu gia đình thể thao trong tổng số hộ gia đình toàn huyện</t>
  </si>
  <si>
    <t>Số câu lạc bộ thể thao cơ sở</t>
  </si>
  <si>
    <t>Tham gia giải thi đấu thể dục thể thao</t>
  </si>
  <si>
    <t>+ Trong đó: Tham gia hội thi</t>
  </si>
  <si>
    <t xml:space="preserve"> Số vận động viên được đào tạo</t>
  </si>
  <si>
    <t xml:space="preserve"> Lao động</t>
  </si>
  <si>
    <t xml:space="preserve"> Tổng số người trong độ tuổi  lao động</t>
  </si>
  <si>
    <t xml:space="preserve">  - Trong đó: Lực lượng lao động là nữ</t>
  </si>
  <si>
    <t>Lao động đang làm việc trong các ngành kinh tế quốc doanh</t>
  </si>
  <si>
    <t xml:space="preserve">  Tỷ lệ so với lao động đang làm việc trong các ngành kinh tế quốc doanh</t>
  </si>
  <si>
    <t xml:space="preserve"> Tổng số lao động qua đào tạo</t>
  </si>
  <si>
    <t xml:space="preserve">  Trong đó: - Tỷ lệlao động được đào tạo so với lực lượng lao động</t>
  </si>
  <si>
    <t xml:space="preserve">  Số lao động được tạo việc làm mới trong năm</t>
  </si>
  <si>
    <t xml:space="preserve"> Trong đó: - Số lao động được tạo việc làm từ quỹ quốc gia hỗ trợ việc làm</t>
  </si>
  <si>
    <t xml:space="preserve">  - Tạo việc làm từ xuất khẩu lao động</t>
  </si>
  <si>
    <t>Đối tượng</t>
  </si>
  <si>
    <t>Đối tượng thuộc diện tham gia bảo hiểm xã hội bắt buộc</t>
  </si>
  <si>
    <t>Đối tượng thuộc diện tham gia bảo hiểm xã hội thất nghiệp</t>
  </si>
  <si>
    <t xml:space="preserve"> - Tỷ lệ tham gia bảo hiểm xã hội bắt buộc</t>
  </si>
  <si>
    <t>Số người tham gia bảo hiểm xã hội bắt buộc</t>
  </si>
  <si>
    <t>Số người tham gia bảo hiểm xã hội thất nghiệp</t>
  </si>
  <si>
    <t>- Tỷ lệ tham gia bảo hiểm xã hội thất nghiệp</t>
  </si>
  <si>
    <t>- Tốc độ phát triển số người tham gia bảo hiểm xã hội thất nghiệp</t>
  </si>
  <si>
    <t>Đối tượng thuộc diện tham gia bảo hiểm xã hội tự nguyện</t>
  </si>
  <si>
    <t xml:space="preserve"> Số người tham gia bảo hiểm xã hội tự nguyện</t>
  </si>
  <si>
    <t>- Tỷ lệ tham gia bảo hiểm xã hội tự nguyện</t>
  </si>
  <si>
    <t>- Tốc độ phát triển số người tham gia bảo hiểm xã hội tự nguyện</t>
  </si>
  <si>
    <t xml:space="preserve"> Học viên</t>
  </si>
  <si>
    <t>-1,81</t>
  </si>
  <si>
    <t>-2,4</t>
  </si>
  <si>
    <t>Thực hiện  năm 2019</t>
  </si>
  <si>
    <t>Tỷ lệ trẻ em &lt;1 tuổi tiêm chủng đầy đủ các loại Vắc xin</t>
  </si>
  <si>
    <t xml:space="preserve"> Tỷ lệ phụ nữ đẻ được khám thai đủ 3 lần/3 kỳ thai nghén</t>
  </si>
  <si>
    <t xml:space="preserve">Tỷ lệ phụ nữ dân tộc thiểu số được khám thai ít nhất 3 lần trong kỳ mang thai </t>
  </si>
  <si>
    <t xml:space="preserve"> Tỷ lệ phụ nữ có thai được tiêm phòng UV2+</t>
  </si>
  <si>
    <t xml:space="preserve"> Tỷ lệ phụ nữ có thai được tư vấn và kiểm tra HIV</t>
  </si>
  <si>
    <t xml:space="preserve"> Tỷ lệ phụ nữ có thai nhiễm HIV nhận được thuốc  ARV/số phụ nữ mang thai nhiễm HIV toàn huyện</t>
  </si>
  <si>
    <t>Tỷ suất tử vong trẻ em dưới 1 tuổi</t>
  </si>
  <si>
    <t xml:space="preserve">Tỷ suất tử vong trẻ em dân tộc thiểu số dưới 1 tuổi trên 1000 trẻ dân tộc thiểu số đẻ sống </t>
  </si>
  <si>
    <t>Tỷ suất tử vong trẻ em dưới 5 tuổi</t>
  </si>
  <si>
    <t xml:space="preserve">Tỷ suất tử vong trẻ em dân tộc thiểu số dưới 5 tuổi trên 1000 trẻ dân tộc thiểu số đẻ sống </t>
  </si>
  <si>
    <t>Tỷ số tử vong người mẹ dân tộc thiểu số/100.000 trẻ người dân tộc thiểu số đẻ sống</t>
  </si>
  <si>
    <t>Tỷ lệ trẻ em dưới 5 tuổi duy dinh dưỡng (cân nặng/tuổi)</t>
  </si>
  <si>
    <t xml:space="preserve">Tỷ lệ suy dinh dưỡng cân nặng/tuổi ở trẻ em dân tộc thiểu số dưới 5 tuổi </t>
  </si>
  <si>
    <t>Tỷ lệ trẻ em dưới 5 tuổi duy dinh dưỡng thể thấp còi (chiều cao theo tuổi)</t>
  </si>
  <si>
    <t xml:space="preserve">Tỷ lệ các ca sinh của phụ nữ dân tộc thiểu số được cán bộ y tế đã qua đào tạo đỡ </t>
  </si>
  <si>
    <t>Tỷ lệ hộ gia đìnhdân tộc thiểu số sử dụng nhà tiêu vệ sinh hợp vệ sinh</t>
  </si>
  <si>
    <t>Tỷ lệ ngườidân tộc thiểu số mắc lao/100.000 dân dân tộc thiểu số</t>
  </si>
  <si>
    <t>Phòng khám</t>
  </si>
  <si>
    <t>Đội Bảo vệ bà mẹ trẻ em - kế hoạch hóa gia đình</t>
  </si>
  <si>
    <t>Giường bệnh trung tâm y tế huyện</t>
  </si>
  <si>
    <t>Giường bệnh phòng khám đa khoa khu vực</t>
  </si>
  <si>
    <t>Xã đạt tiêu chí quốc gia về y tế xã  2011-2020</t>
  </si>
  <si>
    <t>Tỷ lệ xã đạt tiêu chí quốc gia y tế  xã</t>
  </si>
  <si>
    <t xml:space="preserve"> - Tỷ lệ phụ nữ 15 - 49 tuổi có chồng</t>
  </si>
  <si>
    <t>Phong trào toàn dân đoàn kết xây dựng đời sống văn hóa</t>
  </si>
  <si>
    <t xml:space="preserve"> Số hộ đăng ký đạt tiêu chuẩn gia đình văn hóa</t>
  </si>
  <si>
    <t>Số hộ đạt tiêu chuẩn gia đình văn hóa</t>
  </si>
  <si>
    <t>Tỷ lệ gia đình đạt văn hóa chiếm trong tổng số gia đình toàn huyện</t>
  </si>
  <si>
    <t xml:space="preserve"> Số thôn, bản, tổ dân phố đăng ký đạt tiêu chuẩn văn hóa</t>
  </si>
  <si>
    <t>Thôn bản</t>
  </si>
  <si>
    <t>Số thôn, bản đạt tiêu chuẩn văn hóa</t>
  </si>
  <si>
    <t>Tỷ lệ  thôn, bản,  đạt văn hóa chiếm trong tổng số thôn, bản  toàn huyện</t>
  </si>
  <si>
    <t xml:space="preserve"> Số cơ quan, đơn vị, trường học đăng ký đạt tiêu chuẩn văn hóa</t>
  </si>
  <si>
    <t>Số cơ quan, đơn vị, doanh nghiệp đạt tiêu chuẩn văn hóa</t>
  </si>
  <si>
    <t>Tỷ lệ cơ quan , đơn vị doanh nghiệp, trường học đạt văn hóa chiếm trong tổng số cơ quan, đơn vị, trường học  toàn huyện</t>
  </si>
  <si>
    <t xml:space="preserve"> Số xã đăng ký đạt tiêu chuẩn văn hóa nông thôn mới</t>
  </si>
  <si>
    <t>Số xã  đạt chuẩn văn hóa nông thôn mới</t>
  </si>
  <si>
    <t xml:space="preserve"> Tỷ lệ xã  đạt chuẩn văn hóa nông thôn mới</t>
  </si>
  <si>
    <t>Ban chỉ đạo</t>
  </si>
  <si>
    <t>Số ban chỉ đạo mô hình phòng chống bạo lực gia đình được thành lập tại các xã,phường, thị trấn (nhân rộng mô hình phòng chống bạo lực gia đình)</t>
  </si>
  <si>
    <t xml:space="preserve">Số  câu lạc bộ gia đình phát triển bền vững tại các thôn, bản,tổ dân phố </t>
  </si>
  <si>
    <t>Câu lạc bộ</t>
  </si>
  <si>
    <t>Xã, Thị trấn</t>
  </si>
  <si>
    <t>Tỷ lệ thôn bản, tổ dân phố có nhà văn hóa - thể thao</t>
  </si>
  <si>
    <t xml:space="preserve">Thủy sản </t>
  </si>
  <si>
    <t xml:space="preserve">
TT</t>
  </si>
  <si>
    <t xml:space="preserve"> CHỈ TIÊU SẢN XUẤT CÔNG NGHIỆP NĂM 2020 HUYỆN TỦA CHÙA</t>
  </si>
  <si>
    <t xml:space="preserve"> CHỈ TIÊU VỀ PHÁT TRIỂN LAO ĐỘNG VIỆC LÀM - BẢO VỆ TRẺ EM,  CÁC VẤN ĐỀ XÃ HỘI VÀ ĐÀO TẠO NGHỀ - NĂM 2020</t>
  </si>
  <si>
    <t xml:space="preserve"> TT</t>
  </si>
  <si>
    <t>Thực hiện năm 2019 (năm học 2019-2020)</t>
  </si>
  <si>
    <t>Kế hoạch  năm 2020 (năm học 2020-2021)</t>
  </si>
  <si>
    <t>Tỷ lệ trẻ em dân tộc thiểu số nhập học đúng độ tuổi bậc tiểu học (%)</t>
  </si>
  <si>
    <t>Tỷ lệ người dân tộc thiểu số hoàn thành chương trình  tiểu học (%)</t>
  </si>
  <si>
    <t>Tỷ lệ người dân tộc thiểu số biết chữ  trong độ tuổi từ 15 tuổi đến 60 tuổi (%)</t>
  </si>
  <si>
    <t>Tỷ lệ học sinh nữ dân tộc thiểu số ở cấp tiểu học, trung học cơ sở, trung học phổ thông (%)</t>
  </si>
  <si>
    <t>Tỷ lệ nữ người dân tộc thiểu số biết chữ trong độ tuổi từ 15 đến 60 tuổi (%)</t>
  </si>
  <si>
    <t xml:space="preserve">Tr đó: Học sinh Trường Phổ thông Dân tộc nội trú - Trung học phổ thông huyện </t>
  </si>
  <si>
    <t>Số viên chức quản lý, giáo viên, nhân viên mầm non được tập huấn về tư vấn dinh dưỡng và tâm lý cho trẻ</t>
  </si>
  <si>
    <t>Số xã, thị trấn đạt chuẩn phổ cập giáo dục mầm non cho trẻ 5 tuổi</t>
  </si>
  <si>
    <t>Nhân lực y tế</t>
  </si>
  <si>
    <t xml:space="preserve"> Tỷ lệ mắc một số bệnh xã hội/dân số</t>
  </si>
  <si>
    <t>Giường bệnh</t>
  </si>
  <si>
    <t>Tỷ lệ xã có nữ hộ sinh hoặc y sỹ sản nhi</t>
  </si>
  <si>
    <t>Bộ tiêu chí quố gia về y tế xã</t>
  </si>
  <si>
    <t>Số bé 
trai /100 bé gái</t>
  </si>
  <si>
    <t>Số máy tính tại cơ quan, đơn vị (máy chủ, trạm, xách tay)</t>
  </si>
  <si>
    <t>Tổng số hợp tác xã</t>
  </si>
  <si>
    <t>Tổng số xã viên hợp tác xã</t>
  </si>
  <si>
    <t>Tổng số cán bộ quản lý hợp tác xã</t>
  </si>
  <si>
    <t>Tổng số lao động làm việc trong Hợp tác xã</t>
  </si>
  <si>
    <t>Tổng số vốn đăng ký kinh doanh</t>
  </si>
  <si>
    <t>Tổng số hộ đăng ký kinh doanh</t>
  </si>
  <si>
    <t>Trong đó: Tổng số lao động là xã viên Hợp tác xã</t>
  </si>
  <si>
    <t>Trong đó: Thành lập mới</t>
  </si>
  <si>
    <t xml:space="preserve"> Số chi nhánh doanh nghiệp nhà nước đang hoạt động</t>
  </si>
  <si>
    <t>Số doanh nghiệp tư nhân đang hoạt động</t>
  </si>
  <si>
    <t>(kèm theo Quyết định số 2654/QĐ-UBND ngày 20/12/2019 của UBND huyện Tủa Chùa)</t>
  </si>
  <si>
    <t>So sánh tỷ lệ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</si>
</sst>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
    <numFmt numFmtId="166" formatCode="_(* #,##0_);_(* \(#,##0\);_(* &quot;-&quot;??_);_(@_)"/>
    <numFmt numFmtId="167" formatCode="_(* #,##0.0_);_(* \(#,##0.0\);_(* &quot;-&quot;??_);_(@_)"/>
    <numFmt numFmtId="168" formatCode="0.0"/>
    <numFmt numFmtId="169" formatCode="0.000"/>
    <numFmt numFmtId="170" formatCode="_(* #,##0.0000_);_(* \(#,##0.0000\);_(* &quot;-&quot;??_);_(@_)"/>
    <numFmt numFmtId="171" formatCode="_(* #,##0.000_);_(* \(#,##0.000\);_(* &quot;-&quot;??_);_(@_)"/>
    <numFmt numFmtId="172" formatCode="_(* #,##0.0_);_(* \(#,##0.0\);_(* &quot;-&quot;?_);_(@_)"/>
    <numFmt numFmtId="173" formatCode="_(* #,##0_);_(* \(#,##0\);_(* &quot;-&quot;?_);_(@_)"/>
    <numFmt numFmtId="174" formatCode="#,##0.0_);\(#,##0.0\)"/>
    <numFmt numFmtId="175" formatCode="0.000000"/>
    <numFmt numFmtId="176" formatCode="0.00000"/>
    <numFmt numFmtId="177" formatCode="0.0000"/>
    <numFmt numFmtId="178" formatCode="#,##0.000"/>
    <numFmt numFmtId="179" formatCode="0.00000000"/>
    <numFmt numFmtId="180" formatCode="0.0000000"/>
  </numFmts>
  <fonts count="95">
    <font>
      <sz val="10"/>
      <name val="Arial"/>
      <family val="0"/>
    </font>
    <font>
      <sz val="8"/>
      <name val="Arial"/>
      <family val="2"/>
    </font>
    <font>
      <b/>
      <sz val="12"/>
      <name val="Times New Roman"/>
      <family val="1"/>
    </font>
    <font>
      <sz val="12"/>
      <name val="Times New Roman"/>
      <family val="1"/>
    </font>
    <font>
      <b/>
      <sz val="11.5"/>
      <name val="Times New Roman"/>
      <family val="1"/>
    </font>
    <font>
      <sz val="11.5"/>
      <name val="Times New Roman"/>
      <family val="1"/>
    </font>
    <font>
      <i/>
      <sz val="14"/>
      <name val="Times New Roman"/>
      <family val="1"/>
    </font>
    <font>
      <i/>
      <sz val="12"/>
      <name val="Times New Roman"/>
      <family val="1"/>
    </font>
    <font>
      <b/>
      <sz val="11"/>
      <name val="Times New Roman"/>
      <family val="1"/>
    </font>
    <font>
      <sz val="11"/>
      <name val="Times New Roman"/>
      <family val="1"/>
    </font>
    <font>
      <sz val="11"/>
      <color indexed="8"/>
      <name val="Times New Roman"/>
      <family val="1"/>
    </font>
    <font>
      <sz val="14"/>
      <name val="Times New Roman"/>
      <family val="1"/>
    </font>
    <font>
      <b/>
      <i/>
      <sz val="11.5"/>
      <name val="Times New Roman"/>
      <family val="1"/>
    </font>
    <font>
      <sz val="12"/>
      <name val=".VnTime"/>
      <family val="2"/>
    </font>
    <font>
      <sz val="11.5"/>
      <name val=".VnTime"/>
      <family val="2"/>
    </font>
    <font>
      <i/>
      <sz val="11"/>
      <name val="Times New Roman"/>
      <family val="1"/>
    </font>
    <font>
      <sz val="10"/>
      <name val="Times New Roman"/>
      <family val="1"/>
    </font>
    <font>
      <sz val="10"/>
      <color indexed="8"/>
      <name val="MS Sans Serif"/>
      <family val="2"/>
    </font>
    <font>
      <sz val="8"/>
      <name val="Times New Roman"/>
      <family val="1"/>
    </font>
    <font>
      <b/>
      <sz val="13"/>
      <name val="Times New Roman"/>
      <family val="1"/>
    </font>
    <font>
      <sz val="13"/>
      <name val="Times New Roman"/>
      <family val="1"/>
    </font>
    <font>
      <i/>
      <sz val="11.5"/>
      <name val="Times New Roman"/>
      <family val="1"/>
    </font>
    <font>
      <sz val="13"/>
      <name val="Arial"/>
      <family val="2"/>
    </font>
    <font>
      <sz val="11"/>
      <name val="Arial"/>
      <family val="2"/>
    </font>
    <font>
      <b/>
      <sz val="14"/>
      <name val="Arial"/>
      <family val="2"/>
    </font>
    <font>
      <sz val="14"/>
      <name val="Arial"/>
      <family val="2"/>
    </font>
    <font>
      <i/>
      <sz val="11"/>
      <name val="Arial"/>
      <family val="2"/>
    </font>
    <font>
      <b/>
      <sz val="11"/>
      <name val="Arial"/>
      <family val="2"/>
    </font>
    <font>
      <b/>
      <sz val="9"/>
      <name val="Times New Roman"/>
      <family val="1"/>
    </font>
    <font>
      <u val="single"/>
      <sz val="10"/>
      <color indexed="12"/>
      <name val="Arial"/>
      <family val="2"/>
    </font>
    <font>
      <u val="single"/>
      <sz val="10"/>
      <color indexed="36"/>
      <name val="Arial"/>
      <family val="2"/>
    </font>
    <font>
      <i/>
      <sz val="13"/>
      <name val="Times New Roman"/>
      <family val="1"/>
    </font>
    <font>
      <b/>
      <sz val="8"/>
      <name val="Times New Roman"/>
      <family val="1"/>
    </font>
    <font>
      <sz val="12"/>
      <name val="Arial"/>
      <family val="2"/>
    </font>
    <font>
      <b/>
      <sz val="14"/>
      <name val="Times New Roman"/>
      <family val="1"/>
    </font>
    <font>
      <b/>
      <sz val="7"/>
      <name val="Times New Roman"/>
      <family val="1"/>
    </font>
    <font>
      <b/>
      <sz val="12"/>
      <name val="Arial"/>
      <family val="2"/>
    </font>
    <font>
      <sz val="9"/>
      <name val="Times New Roman"/>
      <family val="1"/>
    </font>
    <font>
      <b/>
      <i/>
      <sz val="12"/>
      <name val="Times New Roman"/>
      <family val="1"/>
    </font>
    <font>
      <b/>
      <i/>
      <sz val="14"/>
      <name val="Times New Roman"/>
      <family val="1"/>
    </font>
    <font>
      <sz val="11"/>
      <color indexed="8"/>
      <name val="Arial"/>
      <family val="2"/>
    </font>
    <font>
      <sz val="8"/>
      <name val="Tahoma"/>
      <family val="2"/>
    </font>
    <font>
      <b/>
      <sz val="8"/>
      <name val="Tahoma"/>
      <family val="2"/>
    </font>
    <font>
      <b/>
      <sz val="4"/>
      <name val="Times New Roman"/>
      <family val="1"/>
    </font>
    <font>
      <sz val="7"/>
      <name val="Times New Roman"/>
      <family val="1"/>
    </font>
    <font>
      <b/>
      <sz val="10"/>
      <name val="Arial"/>
      <family val="2"/>
    </font>
    <font>
      <sz val="6"/>
      <name val="Times New Roman"/>
      <family val="1"/>
    </font>
    <font>
      <i/>
      <sz val="12"/>
      <name val="Arial"/>
      <family val="2"/>
    </font>
    <font>
      <b/>
      <i/>
      <sz val="12"/>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40"/>
      <name val="Times New Roman"/>
      <family val="1"/>
    </font>
    <font>
      <b/>
      <sz val="12"/>
      <color indexed="8"/>
      <name val="Times New Roman"/>
      <family val="1"/>
    </font>
    <font>
      <sz val="12"/>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B0F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1"/>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style="dotted"/>
    </border>
    <border>
      <left style="thin"/>
      <right style="thin"/>
      <top style="hair"/>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0"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9"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40" fillId="0" borderId="0">
      <alignment/>
      <protection/>
    </xf>
    <xf numFmtId="0" fontId="0" fillId="0" borderId="0">
      <alignment/>
      <protection/>
    </xf>
    <xf numFmtId="0" fontId="16" fillId="0" borderId="0">
      <alignment/>
      <protection/>
    </xf>
    <xf numFmtId="0" fontId="84" fillId="0" borderId="0">
      <alignment/>
      <protection/>
    </xf>
    <xf numFmtId="0" fontId="3" fillId="0" borderId="0">
      <alignment/>
      <protection/>
    </xf>
    <xf numFmtId="0" fontId="0" fillId="0" borderId="0">
      <alignment/>
      <protection/>
    </xf>
    <xf numFmtId="0" fontId="13" fillId="0" borderId="0">
      <alignment/>
      <protection/>
    </xf>
    <xf numFmtId="0" fontId="13" fillId="0" borderId="0">
      <alignment/>
      <protection/>
    </xf>
    <xf numFmtId="0" fontId="3"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788">
    <xf numFmtId="0" fontId="0" fillId="0" borderId="0" xfId="0" applyAlignment="1">
      <alignment/>
    </xf>
    <xf numFmtId="0" fontId="6" fillId="0" borderId="0" xfId="0" applyFont="1" applyAlignment="1">
      <alignment/>
    </xf>
    <xf numFmtId="0" fontId="11" fillId="0" borderId="0" xfId="0" applyFont="1" applyAlignment="1">
      <alignment/>
    </xf>
    <xf numFmtId="0" fontId="5" fillId="0" borderId="0" xfId="0" applyFont="1" applyFill="1" applyBorder="1" applyAlignment="1">
      <alignment/>
    </xf>
    <xf numFmtId="0" fontId="9" fillId="0" borderId="0" xfId="0" applyFont="1" applyFill="1" applyAlignment="1">
      <alignment horizontal="center"/>
    </xf>
    <xf numFmtId="0" fontId="20" fillId="0" borderId="0" xfId="76" applyFont="1" applyFill="1" applyAlignment="1">
      <alignment horizontal="center"/>
      <protection/>
    </xf>
    <xf numFmtId="0" fontId="5" fillId="0" borderId="0" xfId="76" applyFont="1" applyFill="1">
      <alignment/>
      <protection/>
    </xf>
    <xf numFmtId="0" fontId="11" fillId="0" borderId="0" xfId="76" applyFont="1" applyFill="1">
      <alignment/>
      <protection/>
    </xf>
    <xf numFmtId="0" fontId="21" fillId="0" borderId="10" xfId="77" applyFont="1" applyFill="1" applyBorder="1" applyAlignment="1">
      <alignment horizontal="center" vertical="center" wrapText="1"/>
      <protection/>
    </xf>
    <xf numFmtId="0" fontId="21" fillId="0" borderId="10" xfId="77" applyFont="1" applyFill="1" applyBorder="1" applyAlignment="1">
      <alignment horizontal="left" vertical="center" wrapText="1"/>
      <protection/>
    </xf>
    <xf numFmtId="0" fontId="2" fillId="0" borderId="0" xfId="76" applyFont="1" applyFill="1">
      <alignment/>
      <protection/>
    </xf>
    <xf numFmtId="0" fontId="8" fillId="0" borderId="0" xfId="76" applyFont="1" applyFill="1">
      <alignment/>
      <protection/>
    </xf>
    <xf numFmtId="0" fontId="9" fillId="0" borderId="0" xfId="76" applyFont="1" applyFill="1">
      <alignment/>
      <protection/>
    </xf>
    <xf numFmtId="0" fontId="9" fillId="0" borderId="0" xfId="76" applyFont="1" applyFill="1" applyAlignment="1">
      <alignment vertical="center" wrapText="1"/>
      <protection/>
    </xf>
    <xf numFmtId="0" fontId="5" fillId="0" borderId="0" xfId="76" applyFont="1" applyFill="1" applyAlignment="1">
      <alignment horizontal="left"/>
      <protection/>
    </xf>
    <xf numFmtId="0" fontId="5" fillId="0" borderId="0" xfId="76" applyFont="1" applyFill="1" applyAlignment="1">
      <alignment horizontal="center"/>
      <protection/>
    </xf>
    <xf numFmtId="0" fontId="22" fillId="0" borderId="0" xfId="0" applyFont="1" applyFill="1" applyAlignment="1">
      <alignment/>
    </xf>
    <xf numFmtId="0" fontId="23" fillId="0" borderId="0" xfId="0" applyFont="1" applyFill="1" applyAlignment="1">
      <alignment/>
    </xf>
    <xf numFmtId="0" fontId="23" fillId="33" borderId="0" xfId="0" applyFont="1" applyFill="1" applyAlignment="1">
      <alignment/>
    </xf>
    <xf numFmtId="0" fontId="23" fillId="34" borderId="0" xfId="0" applyFont="1" applyFill="1" applyAlignment="1">
      <alignment/>
    </xf>
    <xf numFmtId="0" fontId="23" fillId="35" borderId="0" xfId="0" applyFont="1" applyFill="1" applyAlignment="1">
      <alignment/>
    </xf>
    <xf numFmtId="0" fontId="24" fillId="0" borderId="0" xfId="75" applyFont="1" applyFill="1" applyAlignment="1">
      <alignment horizontal="center" vertical="center"/>
      <protection/>
    </xf>
    <xf numFmtId="0" fontId="25" fillId="0" borderId="0" xfId="75" applyFont="1" applyFill="1" applyAlignment="1">
      <alignment vertical="center"/>
      <protection/>
    </xf>
    <xf numFmtId="0" fontId="25" fillId="33" borderId="0" xfId="75" applyFont="1" applyFill="1" applyAlignment="1">
      <alignment vertical="center"/>
      <protection/>
    </xf>
    <xf numFmtId="0" fontId="25" fillId="34" borderId="0" xfId="75" applyFont="1" applyFill="1" applyAlignment="1">
      <alignment vertical="center"/>
      <protection/>
    </xf>
    <xf numFmtId="0" fontId="25" fillId="35" borderId="0" xfId="75" applyFont="1" applyFill="1" applyAlignment="1">
      <alignment vertical="center"/>
      <protection/>
    </xf>
    <xf numFmtId="0" fontId="26" fillId="36" borderId="10" xfId="0" applyFont="1" applyFill="1" applyBorder="1" applyAlignment="1">
      <alignment horizontal="center"/>
    </xf>
    <xf numFmtId="0" fontId="23" fillId="36" borderId="10" xfId="0" applyFont="1" applyFill="1" applyBorder="1" applyAlignment="1">
      <alignment horizontal="center"/>
    </xf>
    <xf numFmtId="0" fontId="23" fillId="36" borderId="0" xfId="0" applyFont="1" applyFill="1" applyAlignment="1">
      <alignment/>
    </xf>
    <xf numFmtId="0" fontId="23" fillId="0" borderId="0" xfId="75" applyFont="1" applyFill="1">
      <alignment/>
      <protection/>
    </xf>
    <xf numFmtId="0" fontId="27" fillId="0" borderId="0" xfId="75" applyFont="1" applyFill="1">
      <alignment/>
      <protection/>
    </xf>
    <xf numFmtId="0" fontId="8" fillId="0" borderId="11" xfId="75" applyFont="1" applyFill="1" applyBorder="1" applyAlignment="1">
      <alignment horizontal="center" vertical="center" wrapText="1"/>
      <protection/>
    </xf>
    <xf numFmtId="0" fontId="8" fillId="36" borderId="11" xfId="75" applyFont="1" applyFill="1" applyBorder="1" applyAlignment="1">
      <alignment horizontal="center" vertical="center"/>
      <protection/>
    </xf>
    <xf numFmtId="0" fontId="27" fillId="0" borderId="0" xfId="75" applyFont="1" applyFill="1" applyAlignment="1">
      <alignment vertical="center"/>
      <protection/>
    </xf>
    <xf numFmtId="166" fontId="27" fillId="0" borderId="0" xfId="75" applyNumberFormat="1" applyFont="1" applyFill="1" applyAlignment="1">
      <alignment vertical="center"/>
      <protection/>
    </xf>
    <xf numFmtId="0" fontId="23" fillId="0" borderId="0" xfId="0" applyFont="1" applyFill="1" applyAlignment="1">
      <alignment horizontal="center"/>
    </xf>
    <xf numFmtId="0" fontId="8" fillId="0" borderId="11" xfId="75" applyFont="1" applyFill="1" applyBorder="1" applyAlignment="1">
      <alignment horizontal="center"/>
      <protection/>
    </xf>
    <xf numFmtId="0" fontId="16" fillId="0" borderId="0" xfId="0" applyFont="1" applyFill="1" applyAlignment="1">
      <alignment horizontal="center"/>
    </xf>
    <xf numFmtId="0" fontId="19" fillId="0" borderId="0" xfId="0" applyFont="1" applyFill="1" applyAlignment="1">
      <alignment/>
    </xf>
    <xf numFmtId="0" fontId="5"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11" fillId="0" borderId="0" xfId="0" applyFont="1" applyFill="1" applyAlignment="1">
      <alignment/>
    </xf>
    <xf numFmtId="0" fontId="5" fillId="0" borderId="0" xfId="0" applyFont="1" applyFill="1" applyAlignment="1">
      <alignment horizontal="center"/>
    </xf>
    <xf numFmtId="3" fontId="5" fillId="0" borderId="0" xfId="0" applyNumberFormat="1" applyFont="1" applyFill="1" applyAlignment="1">
      <alignment/>
    </xf>
    <xf numFmtId="0" fontId="14" fillId="0" borderId="0" xfId="0" applyFont="1" applyFill="1" applyAlignment="1">
      <alignment horizontal="center"/>
    </xf>
    <xf numFmtId="0" fontId="8" fillId="0" borderId="0" xfId="76" applyFont="1" applyFill="1">
      <alignment/>
      <protection/>
    </xf>
    <xf numFmtId="0" fontId="8" fillId="0" borderId="11" xfId="0" applyFont="1" applyFill="1" applyBorder="1" applyAlignment="1">
      <alignment horizontal="center" vertical="center" wrapText="1"/>
    </xf>
    <xf numFmtId="0" fontId="5" fillId="0" borderId="0" xfId="0" applyFont="1" applyFill="1" applyBorder="1" applyAlignment="1">
      <alignment horizontal="right"/>
    </xf>
    <xf numFmtId="0" fontId="5" fillId="0" borderId="0" xfId="0" applyFont="1" applyFill="1" applyAlignment="1">
      <alignment horizontal="right"/>
    </xf>
    <xf numFmtId="0" fontId="14" fillId="0" borderId="0" xfId="0" applyFont="1" applyFill="1" applyAlignment="1">
      <alignment horizontal="right"/>
    </xf>
    <xf numFmtId="0" fontId="33" fillId="0" borderId="0" xfId="0" applyFont="1" applyFill="1" applyAlignment="1">
      <alignment/>
    </xf>
    <xf numFmtId="0" fontId="33" fillId="0" borderId="0" xfId="0" applyFont="1" applyFill="1" applyAlignment="1">
      <alignment/>
    </xf>
    <xf numFmtId="0" fontId="1" fillId="0" borderId="10" xfId="0" applyFont="1" applyFill="1" applyBorder="1" applyAlignment="1">
      <alignment/>
    </xf>
    <xf numFmtId="0" fontId="36" fillId="0" borderId="0" xfId="0" applyFont="1" applyFill="1" applyAlignment="1">
      <alignment/>
    </xf>
    <xf numFmtId="168" fontId="28" fillId="0" borderId="12" xfId="0" applyNumberFormat="1" applyFont="1" applyFill="1" applyBorder="1" applyAlignment="1">
      <alignment/>
    </xf>
    <xf numFmtId="168" fontId="37" fillId="0" borderId="12" xfId="0" applyNumberFormat="1" applyFont="1" applyFill="1" applyBorder="1" applyAlignment="1">
      <alignment/>
    </xf>
    <xf numFmtId="166" fontId="37" fillId="0" borderId="12" xfId="43" applyNumberFormat="1" applyFont="1" applyFill="1" applyBorder="1" applyAlignment="1">
      <alignment/>
    </xf>
    <xf numFmtId="167" fontId="37" fillId="0" borderId="12" xfId="43" applyNumberFormat="1" applyFont="1" applyFill="1" applyBorder="1" applyAlignment="1">
      <alignment/>
    </xf>
    <xf numFmtId="168" fontId="28" fillId="0" borderId="13" xfId="0" applyNumberFormat="1" applyFont="1" applyFill="1" applyBorder="1" applyAlignment="1">
      <alignment/>
    </xf>
    <xf numFmtId="0" fontId="25" fillId="0" borderId="0" xfId="0" applyFont="1" applyFill="1" applyAlignment="1">
      <alignment horizontal="center"/>
    </xf>
    <xf numFmtId="0" fontId="25" fillId="0" borderId="0" xfId="0" applyFont="1" applyFill="1" applyAlignment="1">
      <alignment/>
    </xf>
    <xf numFmtId="0" fontId="33" fillId="0" borderId="0" xfId="0" applyFont="1" applyFill="1" applyAlignment="1">
      <alignment horizontal="center"/>
    </xf>
    <xf numFmtId="170" fontId="19" fillId="0" borderId="0" xfId="0" applyNumberFormat="1" applyFont="1" applyFill="1" applyAlignment="1">
      <alignment horizontal="right"/>
    </xf>
    <xf numFmtId="0" fontId="20" fillId="0" borderId="0" xfId="0" applyFont="1" applyFill="1" applyAlignment="1">
      <alignment/>
    </xf>
    <xf numFmtId="0" fontId="20" fillId="0" borderId="0" xfId="0" applyFont="1" applyFill="1" applyAlignment="1">
      <alignment horizontal="center"/>
    </xf>
    <xf numFmtId="0" fontId="16" fillId="0" borderId="0" xfId="0" applyFont="1" applyAlignment="1">
      <alignment/>
    </xf>
    <xf numFmtId="0" fontId="16" fillId="0" borderId="0" xfId="0" applyFont="1" applyFill="1" applyAlignment="1">
      <alignment/>
    </xf>
    <xf numFmtId="0" fontId="1" fillId="0" borderId="10" xfId="0" applyFont="1" applyBorder="1" applyAlignment="1">
      <alignment horizontal="center"/>
    </xf>
    <xf numFmtId="0" fontId="1" fillId="0" borderId="10" xfId="0" applyFont="1" applyBorder="1" applyAlignment="1">
      <alignment/>
    </xf>
    <xf numFmtId="0" fontId="28" fillId="0" borderId="12" xfId="0" applyFont="1" applyBorder="1" applyAlignment="1">
      <alignment horizontal="center"/>
    </xf>
    <xf numFmtId="0" fontId="28" fillId="0" borderId="12" xfId="0" applyFont="1" applyBorder="1" applyAlignment="1">
      <alignment/>
    </xf>
    <xf numFmtId="0" fontId="28" fillId="0" borderId="12" xfId="0" applyFont="1" applyBorder="1" applyAlignment="1">
      <alignment wrapText="1"/>
    </xf>
    <xf numFmtId="168" fontId="28" fillId="0" borderId="12" xfId="0" applyNumberFormat="1" applyFont="1" applyBorder="1" applyAlignment="1">
      <alignment/>
    </xf>
    <xf numFmtId="0" fontId="37" fillId="0" borderId="12" xfId="0" applyFont="1" applyBorder="1" applyAlignment="1">
      <alignment horizontal="center"/>
    </xf>
    <xf numFmtId="0" fontId="37" fillId="0" borderId="12" xfId="0" applyFont="1" applyBorder="1" applyAlignment="1">
      <alignment/>
    </xf>
    <xf numFmtId="168" fontId="37" fillId="0" borderId="12" xfId="0" applyNumberFormat="1" applyFont="1" applyBorder="1" applyAlignment="1">
      <alignment/>
    </xf>
    <xf numFmtId="0" fontId="37" fillId="0" borderId="12" xfId="0" applyFont="1" applyBorder="1" applyAlignment="1" quotePrefix="1">
      <alignment/>
    </xf>
    <xf numFmtId="0" fontId="37" fillId="0" borderId="12" xfId="0" applyFont="1" applyBorder="1" applyAlignment="1" quotePrefix="1">
      <alignment wrapText="1"/>
    </xf>
    <xf numFmtId="166" fontId="37" fillId="0" borderId="12" xfId="43" applyNumberFormat="1" applyFont="1" applyBorder="1" applyAlignment="1">
      <alignment/>
    </xf>
    <xf numFmtId="0" fontId="32" fillId="0" borderId="12" xfId="0" applyFont="1" applyBorder="1" applyAlignment="1">
      <alignment horizontal="center"/>
    </xf>
    <xf numFmtId="0" fontId="37" fillId="0" borderId="12" xfId="0" applyFont="1" applyBorder="1" applyAlignment="1">
      <alignment wrapText="1"/>
    </xf>
    <xf numFmtId="0" fontId="18" fillId="0" borderId="12" xfId="0" applyFont="1" applyBorder="1" applyAlignment="1">
      <alignment horizontal="center"/>
    </xf>
    <xf numFmtId="0" fontId="28" fillId="0" borderId="13" xfId="0" applyFont="1" applyBorder="1" applyAlignment="1">
      <alignment horizontal="center"/>
    </xf>
    <xf numFmtId="0" fontId="28" fillId="0" borderId="13" xfId="0" applyFont="1" applyBorder="1" applyAlignment="1">
      <alignment/>
    </xf>
    <xf numFmtId="168" fontId="37" fillId="0" borderId="13" xfId="0" applyNumberFormat="1" applyFont="1" applyBorder="1" applyAlignment="1">
      <alignment/>
    </xf>
    <xf numFmtId="167" fontId="28" fillId="0" borderId="12" xfId="43" applyNumberFormat="1" applyFont="1" applyFill="1" applyBorder="1" applyAlignment="1">
      <alignment/>
    </xf>
    <xf numFmtId="43" fontId="37" fillId="0" borderId="12" xfId="43" applyNumberFormat="1" applyFont="1" applyFill="1" applyBorder="1" applyAlignment="1">
      <alignment/>
    </xf>
    <xf numFmtId="0" fontId="36" fillId="36" borderId="0" xfId="0" applyFont="1" applyFill="1" applyAlignment="1">
      <alignment/>
    </xf>
    <xf numFmtId="171" fontId="37" fillId="0" borderId="12" xfId="43" applyNumberFormat="1" applyFont="1" applyFill="1" applyBorder="1" applyAlignment="1">
      <alignment/>
    </xf>
    <xf numFmtId="0" fontId="7" fillId="0" borderId="0" xfId="0" applyFont="1" applyFill="1" applyAlignment="1">
      <alignment horizontal="center" vertical="center" wrapText="1"/>
    </xf>
    <xf numFmtId="0" fontId="3" fillId="0" borderId="0" xfId="0" applyFont="1" applyAlignment="1">
      <alignment/>
    </xf>
    <xf numFmtId="0" fontId="2" fillId="0" borderId="0" xfId="0" applyFont="1" applyAlignment="1">
      <alignment/>
    </xf>
    <xf numFmtId="0" fontId="7" fillId="0" borderId="0" xfId="0" applyFont="1" applyFill="1" applyAlignment="1">
      <alignment horizontal="right" vertical="center" wrapText="1"/>
    </xf>
    <xf numFmtId="0" fontId="3" fillId="0" borderId="0" xfId="0" applyFont="1" applyFill="1" applyAlignment="1">
      <alignment/>
    </xf>
    <xf numFmtId="49" fontId="3" fillId="0" borderId="14" xfId="0" applyNumberFormat="1" applyFont="1" applyFill="1" applyBorder="1" applyAlignment="1" applyProtection="1">
      <alignment horizontal="center" vertical="center" wrapText="1"/>
      <protection/>
    </xf>
    <xf numFmtId="0" fontId="3" fillId="0" borderId="14" xfId="0" applyFont="1" applyFill="1" applyBorder="1" applyAlignment="1" applyProtection="1">
      <alignment horizontal="left" vertical="center" wrapText="1"/>
      <protection/>
    </xf>
    <xf numFmtId="0" fontId="3" fillId="0" borderId="14" xfId="0"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right" vertical="center" wrapText="1"/>
      <protection/>
    </xf>
    <xf numFmtId="49" fontId="2" fillId="0" borderId="14" xfId="0" applyNumberFormat="1" applyFont="1" applyFill="1" applyBorder="1" applyAlignment="1" applyProtection="1">
      <alignment horizontal="center" vertical="center" wrapText="1"/>
      <protection/>
    </xf>
    <xf numFmtId="3" fontId="2" fillId="0" borderId="14" xfId="0" applyNumberFormat="1" applyFont="1" applyFill="1" applyBorder="1" applyAlignment="1" applyProtection="1">
      <alignment horizontal="right" vertical="center" wrapText="1"/>
      <protection/>
    </xf>
    <xf numFmtId="1" fontId="3"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horizontal="left" vertical="center" wrapText="1"/>
      <protection/>
    </xf>
    <xf numFmtId="0" fontId="3" fillId="0" borderId="15" xfId="0" applyFont="1" applyFill="1" applyBorder="1" applyAlignment="1" applyProtection="1">
      <alignment horizontal="center" vertical="center" wrapText="1"/>
      <protection/>
    </xf>
    <xf numFmtId="1" fontId="3" fillId="0" borderId="15" xfId="0" applyNumberFormat="1" applyFont="1" applyFill="1" applyBorder="1" applyAlignment="1" applyProtection="1">
      <alignment horizontal="right" vertical="center" wrapText="1"/>
      <protection/>
    </xf>
    <xf numFmtId="49" fontId="3" fillId="0" borderId="16" xfId="0" applyNumberFormat="1" applyFont="1" applyFill="1" applyBorder="1" applyAlignment="1" applyProtection="1">
      <alignment horizontal="center" vertical="center" wrapText="1"/>
      <protection/>
    </xf>
    <xf numFmtId="0" fontId="3" fillId="0" borderId="16" xfId="0" applyFont="1" applyFill="1" applyBorder="1" applyAlignment="1" applyProtection="1">
      <alignment horizontal="left" vertical="center" wrapText="1"/>
      <protection/>
    </xf>
    <xf numFmtId="0" fontId="3" fillId="0" borderId="16" xfId="0" applyFont="1" applyFill="1" applyBorder="1" applyAlignment="1" applyProtection="1">
      <alignment horizontal="center" vertical="center" wrapText="1"/>
      <protection/>
    </xf>
    <xf numFmtId="1" fontId="3" fillId="0" borderId="16" xfId="0" applyNumberFormat="1" applyFont="1" applyFill="1" applyBorder="1" applyAlignment="1" applyProtection="1">
      <alignment horizontal="right" vertical="center" wrapText="1"/>
      <protection/>
    </xf>
    <xf numFmtId="49" fontId="2" fillId="0" borderId="14" xfId="0" applyNumberFormat="1" applyFont="1" applyFill="1" applyBorder="1" applyAlignment="1" applyProtection="1">
      <alignment horizontal="left" vertical="center" wrapText="1"/>
      <protection/>
    </xf>
    <xf numFmtId="3" fontId="3" fillId="0" borderId="0" xfId="0" applyNumberFormat="1" applyFont="1" applyAlignment="1">
      <alignment/>
    </xf>
    <xf numFmtId="0" fontId="34" fillId="0" borderId="0" xfId="0" applyFont="1" applyAlignment="1">
      <alignment vertical="center"/>
    </xf>
    <xf numFmtId="0" fontId="2" fillId="0" borderId="0" xfId="0" applyFont="1" applyAlignment="1">
      <alignment vertical="center"/>
    </xf>
    <xf numFmtId="0" fontId="39" fillId="0" borderId="0" xfId="0" applyFont="1" applyAlignment="1">
      <alignment horizontal="right" vertical="center"/>
    </xf>
    <xf numFmtId="0" fontId="17" fillId="0" borderId="0" xfId="0" applyFont="1" applyAlignment="1">
      <alignment vertical="center"/>
    </xf>
    <xf numFmtId="169" fontId="37" fillId="0" borderId="12" xfId="0" applyNumberFormat="1" applyFont="1" applyFill="1" applyBorder="1" applyAlignment="1">
      <alignment/>
    </xf>
    <xf numFmtId="166" fontId="28" fillId="0" borderId="12" xfId="43" applyNumberFormat="1" applyFont="1" applyFill="1" applyBorder="1" applyAlignment="1">
      <alignment/>
    </xf>
    <xf numFmtId="166" fontId="28" fillId="0" borderId="12" xfId="0" applyNumberFormat="1" applyFont="1" applyFill="1" applyBorder="1" applyAlignment="1">
      <alignment/>
    </xf>
    <xf numFmtId="166" fontId="37" fillId="0" borderId="12" xfId="0" applyNumberFormat="1" applyFont="1" applyFill="1" applyBorder="1" applyAlignment="1">
      <alignment/>
    </xf>
    <xf numFmtId="0" fontId="3" fillId="36" borderId="0" xfId="0" applyFont="1" applyFill="1" applyAlignment="1">
      <alignment/>
    </xf>
    <xf numFmtId="167" fontId="32" fillId="0" borderId="0" xfId="43" applyNumberFormat="1" applyFont="1" applyFill="1" applyAlignment="1">
      <alignment/>
    </xf>
    <xf numFmtId="0" fontId="21" fillId="0" borderId="0" xfId="77" applyFont="1" applyFill="1" applyBorder="1" applyAlignment="1">
      <alignment horizontal="center" vertical="center" wrapText="1"/>
      <protection/>
    </xf>
    <xf numFmtId="43" fontId="37" fillId="0" borderId="12" xfId="43" applyFont="1" applyFill="1" applyBorder="1" applyAlignment="1">
      <alignment/>
    </xf>
    <xf numFmtId="0" fontId="28" fillId="0" borderId="17" xfId="0" applyFont="1" applyBorder="1" applyAlignment="1">
      <alignment horizontal="center"/>
    </xf>
    <xf numFmtId="0" fontId="28" fillId="0" borderId="17" xfId="0" applyFont="1" applyBorder="1" applyAlignment="1">
      <alignment/>
    </xf>
    <xf numFmtId="167" fontId="28" fillId="0" borderId="17" xfId="43" applyNumberFormat="1" applyFont="1" applyFill="1" applyBorder="1" applyAlignment="1">
      <alignment/>
    </xf>
    <xf numFmtId="166" fontId="37" fillId="0" borderId="17" xfId="43" applyNumberFormat="1" applyFont="1" applyBorder="1" applyAlignment="1">
      <alignment/>
    </xf>
    <xf numFmtId="1" fontId="3" fillId="0" borderId="18" xfId="0" applyNumberFormat="1" applyFont="1" applyFill="1" applyBorder="1" applyAlignment="1" applyProtection="1">
      <alignment horizontal="right" vertical="center" wrapText="1"/>
      <protection/>
    </xf>
    <xf numFmtId="0" fontId="35" fillId="36" borderId="19" xfId="0" applyFont="1" applyFill="1" applyBorder="1" applyAlignment="1">
      <alignment horizontal="center" vertical="center"/>
    </xf>
    <xf numFmtId="166" fontId="5" fillId="0" borderId="0" xfId="43" applyNumberFormat="1" applyFont="1" applyFill="1" applyBorder="1" applyAlignment="1">
      <alignment/>
    </xf>
    <xf numFmtId="166" fontId="5" fillId="0" borderId="0" xfId="0" applyNumberFormat="1" applyFont="1" applyFill="1" applyAlignment="1">
      <alignment/>
    </xf>
    <xf numFmtId="0" fontId="8" fillId="0" borderId="11" xfId="0" applyFont="1" applyFill="1" applyBorder="1" applyAlignment="1">
      <alignment horizontal="center"/>
    </xf>
    <xf numFmtId="0" fontId="32" fillId="36" borderId="11" xfId="0" applyFont="1" applyFill="1" applyBorder="1" applyAlignment="1">
      <alignment horizontal="center" vertical="center" wrapText="1"/>
    </xf>
    <xf numFmtId="0" fontId="5" fillId="0" borderId="0" xfId="0" applyFont="1" applyAlignment="1">
      <alignment/>
    </xf>
    <xf numFmtId="0" fontId="33" fillId="0" borderId="0" xfId="0" applyFont="1" applyFill="1" applyAlignment="1">
      <alignment/>
    </xf>
    <xf numFmtId="0" fontId="33" fillId="0" borderId="0" xfId="0" applyFont="1" applyFill="1" applyAlignment="1">
      <alignment/>
    </xf>
    <xf numFmtId="0" fontId="1" fillId="0" borderId="10" xfId="0" applyFont="1" applyBorder="1" applyAlignment="1">
      <alignment horizontal="center"/>
    </xf>
    <xf numFmtId="0" fontId="1" fillId="0" borderId="10" xfId="0" applyFont="1" applyBorder="1" applyAlignment="1">
      <alignment/>
    </xf>
    <xf numFmtId="0" fontId="1" fillId="0" borderId="10" xfId="0" applyFont="1" applyFill="1" applyBorder="1" applyAlignment="1">
      <alignment/>
    </xf>
    <xf numFmtId="0" fontId="1" fillId="0" borderId="0" xfId="0" applyFont="1" applyBorder="1" applyAlignment="1">
      <alignment/>
    </xf>
    <xf numFmtId="0" fontId="36" fillId="36" borderId="0" xfId="0" applyFont="1" applyFill="1" applyAlignment="1">
      <alignment/>
    </xf>
    <xf numFmtId="0" fontId="36" fillId="0" borderId="0" xfId="0" applyFont="1" applyFill="1" applyAlignment="1">
      <alignment/>
    </xf>
    <xf numFmtId="0" fontId="36" fillId="36" borderId="0" xfId="0" applyFont="1" applyFill="1" applyAlignment="1">
      <alignment horizontal="center" vertical="center"/>
    </xf>
    <xf numFmtId="0" fontId="33" fillId="36" borderId="0" xfId="0" applyFont="1" applyFill="1" applyAlignment="1">
      <alignment/>
    </xf>
    <xf numFmtId="0" fontId="33" fillId="0" borderId="0" xfId="0" applyFont="1" applyFill="1" applyAlignment="1">
      <alignment horizontal="center" vertical="center"/>
    </xf>
    <xf numFmtId="0" fontId="36" fillId="0" borderId="0" xfId="0" applyFont="1" applyAlignment="1">
      <alignment/>
    </xf>
    <xf numFmtId="0" fontId="33" fillId="0" borderId="0" xfId="0" applyFont="1" applyAlignment="1">
      <alignment/>
    </xf>
    <xf numFmtId="0" fontId="25" fillId="0" borderId="0" xfId="0" applyFont="1" applyFill="1" applyAlignment="1">
      <alignment horizontal="center"/>
    </xf>
    <xf numFmtId="0" fontId="25" fillId="0" borderId="0" xfId="0" applyFont="1" applyFill="1" applyAlignment="1">
      <alignment/>
    </xf>
    <xf numFmtId="0" fontId="33" fillId="0" borderId="0" xfId="0" applyFont="1" applyFill="1" applyAlignment="1">
      <alignment horizontal="center"/>
    </xf>
    <xf numFmtId="0" fontId="36" fillId="0" borderId="0" xfId="75" applyFont="1" applyFill="1" applyAlignment="1">
      <alignment vertical="center"/>
      <protection/>
    </xf>
    <xf numFmtId="0" fontId="2" fillId="36" borderId="11" xfId="75" applyFont="1" applyFill="1" applyBorder="1" applyAlignment="1">
      <alignment horizontal="center" vertical="center"/>
      <protection/>
    </xf>
    <xf numFmtId="49" fontId="2" fillId="36" borderId="11" xfId="75" applyNumberFormat="1" applyFont="1" applyFill="1" applyBorder="1" applyAlignment="1">
      <alignment vertical="center"/>
      <protection/>
    </xf>
    <xf numFmtId="0" fontId="2" fillId="36" borderId="11" xfId="75" applyFont="1" applyFill="1" applyBorder="1" applyAlignment="1">
      <alignment vertical="center"/>
      <protection/>
    </xf>
    <xf numFmtId="49" fontId="2" fillId="36" borderId="11" xfId="75" applyNumberFormat="1" applyFont="1" applyFill="1" applyBorder="1" applyAlignment="1" quotePrefix="1">
      <alignment vertical="center"/>
      <protection/>
    </xf>
    <xf numFmtId="166" fontId="2" fillId="33" borderId="11" xfId="49" applyNumberFormat="1" applyFont="1" applyFill="1" applyBorder="1" applyAlignment="1">
      <alignment vertical="center"/>
    </xf>
    <xf numFmtId="166" fontId="2" fillId="34" borderId="11" xfId="49" applyNumberFormat="1" applyFont="1" applyFill="1" applyBorder="1" applyAlignment="1">
      <alignment horizontal="right" vertical="center"/>
    </xf>
    <xf numFmtId="3" fontId="33" fillId="0" borderId="0" xfId="75" applyNumberFormat="1" applyFont="1" applyFill="1" applyAlignment="1">
      <alignment vertical="center"/>
      <protection/>
    </xf>
    <xf numFmtId="0" fontId="3" fillId="36" borderId="11" xfId="75" applyFont="1" applyFill="1" applyBorder="1" applyAlignment="1">
      <alignment vertical="center"/>
      <protection/>
    </xf>
    <xf numFmtId="49" fontId="3" fillId="36" borderId="11" xfId="75" applyNumberFormat="1" applyFont="1" applyFill="1" applyBorder="1" applyAlignment="1" quotePrefix="1">
      <alignment vertical="center"/>
      <protection/>
    </xf>
    <xf numFmtId="0" fontId="3" fillId="36" borderId="11" xfId="75" applyFont="1" applyFill="1" applyBorder="1" applyAlignment="1">
      <alignment horizontal="center" vertical="center"/>
      <protection/>
    </xf>
    <xf numFmtId="166" fontId="3" fillId="33" borderId="11" xfId="49" applyNumberFormat="1" applyFont="1" applyFill="1" applyBorder="1" applyAlignment="1">
      <alignment vertical="center"/>
    </xf>
    <xf numFmtId="166" fontId="3" fillId="34" borderId="11" xfId="49" applyNumberFormat="1" applyFont="1" applyFill="1" applyBorder="1" applyAlignment="1">
      <alignment horizontal="right" vertical="center"/>
    </xf>
    <xf numFmtId="0" fontId="33" fillId="0" borderId="0" xfId="75" applyFont="1" applyFill="1" applyAlignment="1">
      <alignment vertical="center"/>
      <protection/>
    </xf>
    <xf numFmtId="166" fontId="33" fillId="0" borderId="0" xfId="75" applyNumberFormat="1" applyFont="1" applyFill="1" applyAlignment="1">
      <alignment vertical="center"/>
      <protection/>
    </xf>
    <xf numFmtId="0" fontId="3" fillId="0" borderId="11" xfId="75" applyFont="1" applyFill="1" applyBorder="1" applyAlignment="1">
      <alignment vertical="center"/>
      <protection/>
    </xf>
    <xf numFmtId="49" fontId="3" fillId="0" borderId="11" xfId="75" applyNumberFormat="1" applyFont="1" applyFill="1" applyBorder="1" applyAlignment="1" quotePrefix="1">
      <alignment vertical="center"/>
      <protection/>
    </xf>
    <xf numFmtId="0" fontId="3" fillId="0" borderId="11" xfId="75" applyFont="1" applyFill="1" applyBorder="1" applyAlignment="1">
      <alignment horizontal="center" vertical="center"/>
      <protection/>
    </xf>
    <xf numFmtId="10" fontId="33" fillId="0" borderId="0" xfId="80" applyNumberFormat="1" applyFont="1" applyFill="1" applyAlignment="1">
      <alignment vertical="center"/>
    </xf>
    <xf numFmtId="166" fontId="36" fillId="0" borderId="0" xfId="75" applyNumberFormat="1" applyFont="1" applyFill="1" applyAlignment="1">
      <alignment vertical="center"/>
      <protection/>
    </xf>
    <xf numFmtId="166" fontId="36" fillId="36" borderId="0" xfId="75" applyNumberFormat="1" applyFont="1" applyFill="1" applyAlignment="1">
      <alignment vertical="center"/>
      <protection/>
    </xf>
    <xf numFmtId="0" fontId="38" fillId="36" borderId="11" xfId="75" applyFont="1" applyFill="1" applyBorder="1" applyAlignment="1">
      <alignment horizontal="center" vertical="center"/>
      <protection/>
    </xf>
    <xf numFmtId="49" fontId="38" fillId="36" borderId="11" xfId="75" applyNumberFormat="1" applyFont="1" applyFill="1" applyBorder="1" applyAlignment="1">
      <alignment vertical="center"/>
      <protection/>
    </xf>
    <xf numFmtId="166" fontId="2" fillId="36" borderId="11" xfId="49" applyNumberFormat="1" applyFont="1" applyFill="1" applyBorder="1" applyAlignment="1">
      <alignment vertical="center"/>
    </xf>
    <xf numFmtId="166" fontId="2" fillId="36" borderId="11" xfId="49" applyNumberFormat="1" applyFont="1" applyFill="1" applyBorder="1" applyAlignment="1">
      <alignment horizontal="right" vertical="center"/>
    </xf>
    <xf numFmtId="0" fontId="36" fillId="36" borderId="0" xfId="75" applyFont="1" applyFill="1" applyAlignment="1">
      <alignment vertical="center"/>
      <protection/>
    </xf>
    <xf numFmtId="166" fontId="33" fillId="36" borderId="0" xfId="75" applyNumberFormat="1" applyFont="1" applyFill="1" applyAlignment="1">
      <alignment vertical="center"/>
      <protection/>
    </xf>
    <xf numFmtId="43" fontId="33" fillId="0" borderId="0" xfId="75" applyNumberFormat="1" applyFont="1" applyFill="1" applyAlignment="1">
      <alignment vertical="center"/>
      <protection/>
    </xf>
    <xf numFmtId="0" fontId="3" fillId="36" borderId="11" xfId="75" applyFont="1" applyFill="1" applyBorder="1" applyAlignment="1">
      <alignment horizontal="right" vertical="center"/>
      <protection/>
    </xf>
    <xf numFmtId="0" fontId="3" fillId="36" borderId="11" xfId="75" applyNumberFormat="1" applyFont="1" applyFill="1" applyBorder="1" applyAlignment="1">
      <alignment vertical="center"/>
      <protection/>
    </xf>
    <xf numFmtId="10" fontId="3" fillId="36" borderId="11" xfId="75" applyNumberFormat="1" applyFont="1" applyFill="1" applyBorder="1" applyAlignment="1">
      <alignment vertical="center"/>
      <protection/>
    </xf>
    <xf numFmtId="168" fontId="3" fillId="36" borderId="11" xfId="75" applyNumberFormat="1" applyFont="1" applyFill="1" applyBorder="1" applyAlignment="1">
      <alignment vertical="center"/>
      <protection/>
    </xf>
    <xf numFmtId="166" fontId="2" fillId="34" borderId="11" xfId="49" applyNumberFormat="1" applyFont="1" applyFill="1" applyBorder="1" applyAlignment="1">
      <alignment vertical="center"/>
    </xf>
    <xf numFmtId="166" fontId="2" fillId="35" borderId="11" xfId="49" applyNumberFormat="1" applyFont="1" applyFill="1" applyBorder="1" applyAlignment="1">
      <alignment vertical="center"/>
    </xf>
    <xf numFmtId="167" fontId="3" fillId="33" borderId="11" xfId="49" applyNumberFormat="1" applyFont="1" applyFill="1" applyBorder="1" applyAlignment="1">
      <alignment vertical="center"/>
    </xf>
    <xf numFmtId="167" fontId="3" fillId="34" borderId="11" xfId="49" applyNumberFormat="1" applyFont="1" applyFill="1" applyBorder="1" applyAlignment="1">
      <alignment horizontal="right" vertical="center"/>
    </xf>
    <xf numFmtId="49" fontId="3" fillId="36" borderId="11" xfId="75" applyNumberFormat="1" applyFont="1" applyFill="1" applyBorder="1" applyAlignment="1">
      <alignment vertical="center"/>
      <protection/>
    </xf>
    <xf numFmtId="166" fontId="3" fillId="36" borderId="11" xfId="49" applyNumberFormat="1" applyFont="1" applyFill="1" applyBorder="1" applyAlignment="1">
      <alignment vertical="center"/>
    </xf>
    <xf numFmtId="166" fontId="3" fillId="36" borderId="11" xfId="49" applyNumberFormat="1" applyFont="1" applyFill="1" applyBorder="1" applyAlignment="1">
      <alignment horizontal="right" vertical="center"/>
    </xf>
    <xf numFmtId="0" fontId="33" fillId="36" borderId="0" xfId="75" applyFont="1" applyFill="1" applyAlignment="1">
      <alignment vertical="center"/>
      <protection/>
    </xf>
    <xf numFmtId="0" fontId="2" fillId="36" borderId="11" xfId="75" applyFont="1" applyFill="1" applyBorder="1" applyAlignment="1">
      <alignment horizontal="right" vertical="center"/>
      <protection/>
    </xf>
    <xf numFmtId="0" fontId="47" fillId="0" borderId="0" xfId="75" applyFont="1" applyFill="1" applyAlignment="1">
      <alignment vertical="center"/>
      <protection/>
    </xf>
    <xf numFmtId="0" fontId="48" fillId="0" borderId="0" xfId="75" applyFont="1" applyFill="1" applyAlignment="1">
      <alignment vertical="center"/>
      <protection/>
    </xf>
    <xf numFmtId="0" fontId="2" fillId="36" borderId="0" xfId="75" applyFont="1" applyFill="1" applyBorder="1" applyAlignment="1">
      <alignment vertical="center"/>
      <protection/>
    </xf>
    <xf numFmtId="49" fontId="2" fillId="36" borderId="0" xfId="75" applyNumberFormat="1" applyFont="1" applyFill="1" applyBorder="1" applyAlignment="1">
      <alignment vertical="center"/>
      <protection/>
    </xf>
    <xf numFmtId="0" fontId="2" fillId="36" borderId="0" xfId="75" applyFont="1" applyFill="1" applyBorder="1" applyAlignment="1">
      <alignment horizontal="center" vertical="center"/>
      <protection/>
    </xf>
    <xf numFmtId="166" fontId="2" fillId="33" borderId="0" xfId="49" applyNumberFormat="1" applyFont="1" applyFill="1" applyBorder="1" applyAlignment="1">
      <alignment vertical="center"/>
    </xf>
    <xf numFmtId="166" fontId="2" fillId="34" borderId="0" xfId="49" applyNumberFormat="1" applyFont="1" applyFill="1" applyBorder="1" applyAlignment="1">
      <alignment horizontal="right" vertical="center"/>
    </xf>
    <xf numFmtId="166" fontId="2" fillId="36" borderId="0" xfId="49" applyNumberFormat="1" applyFont="1" applyFill="1" applyBorder="1" applyAlignment="1">
      <alignment horizontal="right" vertical="center"/>
    </xf>
    <xf numFmtId="0" fontId="9" fillId="37" borderId="0" xfId="76" applyFont="1" applyFill="1">
      <alignment/>
      <protection/>
    </xf>
    <xf numFmtId="170" fontId="19" fillId="0" borderId="0" xfId="0" applyNumberFormat="1" applyFont="1" applyFill="1" applyAlignment="1">
      <alignment horizontal="center"/>
    </xf>
    <xf numFmtId="0" fontId="5" fillId="0" borderId="0" xfId="0" applyFont="1" applyFill="1" applyBorder="1" applyAlignment="1">
      <alignment horizontal="center"/>
    </xf>
    <xf numFmtId="0" fontId="2" fillId="0" borderId="11" xfId="0" applyFont="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Border="1" applyAlignment="1">
      <alignment/>
    </xf>
    <xf numFmtId="0" fontId="9" fillId="36" borderId="0" xfId="0" applyFont="1" applyFill="1" applyBorder="1" applyAlignment="1">
      <alignment/>
    </xf>
    <xf numFmtId="0" fontId="8" fillId="0" borderId="0" xfId="0" applyFont="1" applyBorder="1" applyAlignment="1">
      <alignment/>
    </xf>
    <xf numFmtId="0" fontId="15" fillId="0" borderId="0" xfId="0" applyFont="1" applyBorder="1" applyAlignment="1">
      <alignment/>
    </xf>
    <xf numFmtId="166" fontId="16" fillId="0" borderId="11" xfId="47" applyNumberFormat="1" applyFont="1" applyFill="1" applyBorder="1" applyAlignment="1">
      <alignment horizontal="right"/>
    </xf>
    <xf numFmtId="167" fontId="16" fillId="0" borderId="11" xfId="47" applyNumberFormat="1" applyFont="1" applyFill="1" applyBorder="1" applyAlignment="1">
      <alignment horizontal="right"/>
    </xf>
    <xf numFmtId="167" fontId="37" fillId="37" borderId="11" xfId="47" applyNumberFormat="1" applyFont="1" applyFill="1" applyBorder="1" applyAlignment="1">
      <alignment horizontal="right"/>
    </xf>
    <xf numFmtId="0" fontId="35" fillId="36" borderId="19" xfId="0" applyFont="1" applyFill="1" applyBorder="1" applyAlignment="1">
      <alignment horizontal="center" vertical="center" wrapText="1"/>
    </xf>
    <xf numFmtId="166" fontId="37" fillId="0" borderId="11" xfId="47" applyNumberFormat="1" applyFont="1" applyFill="1" applyBorder="1" applyAlignment="1">
      <alignment horizontal="right"/>
    </xf>
    <xf numFmtId="167" fontId="37" fillId="0" borderId="11" xfId="47" applyNumberFormat="1" applyFont="1" applyFill="1" applyBorder="1" applyAlignment="1">
      <alignment horizontal="right"/>
    </xf>
    <xf numFmtId="166" fontId="37" fillId="37" borderId="11" xfId="47" applyNumberFormat="1" applyFont="1" applyFill="1" applyBorder="1" applyAlignment="1">
      <alignment horizontal="right"/>
    </xf>
    <xf numFmtId="43" fontId="37" fillId="37" borderId="11" xfId="47" applyNumberFormat="1" applyFont="1" applyFill="1" applyBorder="1" applyAlignment="1">
      <alignment horizontal="right"/>
    </xf>
    <xf numFmtId="167" fontId="37" fillId="37" borderId="11" xfId="45" applyNumberFormat="1" applyFont="1" applyFill="1" applyBorder="1" applyAlignment="1">
      <alignment/>
    </xf>
    <xf numFmtId="166" fontId="37" fillId="37" borderId="11" xfId="45" applyNumberFormat="1" applyFont="1" applyFill="1" applyBorder="1" applyAlignment="1">
      <alignment/>
    </xf>
    <xf numFmtId="0" fontId="36" fillId="37" borderId="0" xfId="0" applyFont="1" applyFill="1" applyAlignment="1">
      <alignment/>
    </xf>
    <xf numFmtId="166" fontId="37" fillId="0" borderId="11" xfId="45" applyNumberFormat="1" applyFont="1" applyFill="1" applyBorder="1" applyAlignment="1">
      <alignment horizontal="right"/>
    </xf>
    <xf numFmtId="167" fontId="37" fillId="0" borderId="11" xfId="45" applyNumberFormat="1" applyFont="1" applyFill="1" applyBorder="1" applyAlignment="1">
      <alignment horizontal="right"/>
    </xf>
    <xf numFmtId="0" fontId="16" fillId="0" borderId="11" xfId="0" applyFont="1" applyFill="1" applyBorder="1" applyAlignment="1">
      <alignment horizontal="right"/>
    </xf>
    <xf numFmtId="3" fontId="16" fillId="0" borderId="11" xfId="47" applyNumberFormat="1" applyFont="1" applyFill="1" applyBorder="1" applyAlignment="1">
      <alignment horizontal="right"/>
    </xf>
    <xf numFmtId="43" fontId="37" fillId="0" borderId="11" xfId="45" applyNumberFormat="1" applyFont="1" applyFill="1" applyBorder="1" applyAlignment="1">
      <alignment horizontal="right"/>
    </xf>
    <xf numFmtId="43" fontId="9" fillId="0" borderId="11" xfId="45" applyNumberFormat="1" applyFont="1" applyFill="1" applyBorder="1" applyAlignment="1">
      <alignment horizontal="right"/>
    </xf>
    <xf numFmtId="166" fontId="3" fillId="36" borderId="11" xfId="45" applyNumberFormat="1" applyFont="1" applyFill="1" applyBorder="1" applyAlignment="1">
      <alignment vertical="center"/>
    </xf>
    <xf numFmtId="3" fontId="3" fillId="0" borderId="11" xfId="0" applyNumberFormat="1" applyFont="1" applyFill="1" applyBorder="1" applyAlignment="1">
      <alignment vertical="center"/>
    </xf>
    <xf numFmtId="0" fontId="9" fillId="0" borderId="11" xfId="75" applyFont="1" applyFill="1" applyBorder="1" applyAlignment="1">
      <alignment horizontal="center" vertical="center" wrapText="1"/>
      <protection/>
    </xf>
    <xf numFmtId="3" fontId="9" fillId="36" borderId="11" xfId="0" applyNumberFormat="1" applyFont="1" applyFill="1" applyBorder="1" applyAlignment="1">
      <alignment horizontal="center" vertical="center"/>
    </xf>
    <xf numFmtId="165" fontId="9" fillId="36" borderId="11" xfId="0" applyNumberFormat="1" applyFont="1" applyFill="1" applyBorder="1" applyAlignment="1">
      <alignment horizontal="center" vertical="center"/>
    </xf>
    <xf numFmtId="168" fontId="9" fillId="36" borderId="11" xfId="43" applyNumberFormat="1" applyFont="1" applyFill="1" applyBorder="1" applyAlignment="1">
      <alignment horizontal="center" vertical="center"/>
    </xf>
    <xf numFmtId="3" fontId="8" fillId="0" borderId="11" xfId="75" applyNumberFormat="1" applyFont="1" applyFill="1" applyBorder="1" applyAlignment="1">
      <alignment horizontal="center" vertical="center" wrapText="1"/>
      <protection/>
    </xf>
    <xf numFmtId="3" fontId="8" fillId="36" borderId="11" xfId="0" applyNumberFormat="1" applyFont="1" applyFill="1" applyBorder="1" applyAlignment="1">
      <alignment horizontal="center" vertical="center"/>
    </xf>
    <xf numFmtId="3" fontId="9" fillId="36" borderId="11" xfId="0" applyNumberFormat="1" applyFont="1" applyFill="1" applyBorder="1" applyAlignment="1">
      <alignment horizontal="center"/>
    </xf>
    <xf numFmtId="3" fontId="9" fillId="36" borderId="11" xfId="0" applyNumberFormat="1" applyFont="1" applyFill="1" applyBorder="1" applyAlignment="1" quotePrefix="1">
      <alignment horizontal="center"/>
    </xf>
    <xf numFmtId="0" fontId="36" fillId="37" borderId="0" xfId="0" applyFont="1" applyFill="1" applyAlignment="1">
      <alignment/>
    </xf>
    <xf numFmtId="166" fontId="37" fillId="37" borderId="11" xfId="45" applyNumberFormat="1" applyFont="1" applyFill="1" applyBorder="1" applyAlignment="1">
      <alignment horizontal="right"/>
    </xf>
    <xf numFmtId="0" fontId="33" fillId="37" borderId="0" xfId="0" applyFont="1" applyFill="1" applyAlignment="1">
      <alignment/>
    </xf>
    <xf numFmtId="167" fontId="37" fillId="37" borderId="11" xfId="45" applyNumberFormat="1" applyFont="1" applyFill="1" applyBorder="1" applyAlignment="1">
      <alignment horizontal="right"/>
    </xf>
    <xf numFmtId="3" fontId="2" fillId="33" borderId="11" xfId="72" applyNumberFormat="1" applyFont="1" applyFill="1" applyBorder="1" applyAlignment="1">
      <alignment vertical="center"/>
      <protection/>
    </xf>
    <xf numFmtId="3" fontId="2" fillId="34" borderId="11" xfId="72" applyNumberFormat="1" applyFont="1" applyFill="1" applyBorder="1" applyAlignment="1">
      <alignment vertical="center"/>
      <protection/>
    </xf>
    <xf numFmtId="3" fontId="2" fillId="35" borderId="11" xfId="72" applyNumberFormat="1" applyFont="1" applyFill="1" applyBorder="1" applyAlignment="1">
      <alignment vertical="center"/>
      <protection/>
    </xf>
    <xf numFmtId="3" fontId="2" fillId="36" borderId="11" xfId="72" applyNumberFormat="1" applyFont="1" applyFill="1" applyBorder="1" applyAlignment="1">
      <alignment vertical="center"/>
      <protection/>
    </xf>
    <xf numFmtId="166" fontId="2" fillId="36" borderId="11" xfId="72" applyNumberFormat="1" applyFont="1" applyFill="1" applyBorder="1" applyAlignment="1">
      <alignment vertical="center"/>
      <protection/>
    </xf>
    <xf numFmtId="3" fontId="3" fillId="35" borderId="11" xfId="72" applyNumberFormat="1" applyFont="1" applyFill="1" applyBorder="1" applyAlignment="1">
      <alignment vertical="center"/>
      <protection/>
    </xf>
    <xf numFmtId="166" fontId="3" fillId="36" borderId="11" xfId="45" applyNumberFormat="1" applyFont="1" applyFill="1" applyBorder="1" applyAlignment="1">
      <alignment horizontal="center" vertical="center"/>
    </xf>
    <xf numFmtId="166" fontId="2" fillId="36" borderId="11" xfId="45" applyNumberFormat="1" applyFont="1" applyFill="1" applyBorder="1" applyAlignment="1">
      <alignment vertical="center"/>
    </xf>
    <xf numFmtId="166" fontId="2" fillId="36" borderId="11" xfId="45" applyNumberFormat="1" applyFont="1" applyFill="1" applyBorder="1" applyAlignment="1">
      <alignment horizontal="center" vertical="center"/>
    </xf>
    <xf numFmtId="167" fontId="3" fillId="33" borderId="11" xfId="45" applyNumberFormat="1" applyFont="1" applyFill="1" applyBorder="1" applyAlignment="1">
      <alignment vertical="center"/>
    </xf>
    <xf numFmtId="167" fontId="3" fillId="34" borderId="11" xfId="45" applyNumberFormat="1" applyFont="1" applyFill="1" applyBorder="1" applyAlignment="1">
      <alignment vertical="center"/>
    </xf>
    <xf numFmtId="165" fontId="3" fillId="35" borderId="11" xfId="72" applyNumberFormat="1" applyFont="1" applyFill="1" applyBorder="1" applyAlignment="1">
      <alignment vertical="center"/>
      <protection/>
    </xf>
    <xf numFmtId="167" fontId="3" fillId="36" borderId="11" xfId="45" applyNumberFormat="1" applyFont="1" applyFill="1" applyBorder="1" applyAlignment="1">
      <alignment vertical="center"/>
    </xf>
    <xf numFmtId="167" fontId="3" fillId="0" borderId="11" xfId="45" applyNumberFormat="1" applyFont="1" applyFill="1" applyBorder="1" applyAlignment="1">
      <alignment horizontal="right" vertical="center"/>
    </xf>
    <xf numFmtId="167" fontId="3" fillId="0" borderId="11" xfId="45" applyNumberFormat="1" applyFont="1" applyFill="1" applyBorder="1" applyAlignment="1">
      <alignment vertical="center"/>
    </xf>
    <xf numFmtId="167" fontId="3" fillId="0" borderId="11" xfId="45" applyNumberFormat="1" applyFont="1" applyFill="1" applyBorder="1" applyAlignment="1">
      <alignment horizontal="center" vertical="center"/>
    </xf>
    <xf numFmtId="49" fontId="3" fillId="36" borderId="11" xfId="75" applyNumberFormat="1" applyFont="1" applyFill="1" applyBorder="1" applyAlignment="1" quotePrefix="1">
      <alignment horizontal="left" vertical="center"/>
      <protection/>
    </xf>
    <xf numFmtId="166" fontId="2" fillId="33" borderId="11" xfId="45" applyNumberFormat="1" applyFont="1" applyFill="1" applyBorder="1" applyAlignment="1">
      <alignment vertical="center"/>
    </xf>
    <xf numFmtId="166" fontId="2" fillId="34" borderId="11" xfId="45" applyNumberFormat="1" applyFont="1" applyFill="1" applyBorder="1" applyAlignment="1">
      <alignment vertical="center"/>
    </xf>
    <xf numFmtId="0" fontId="36" fillId="0" borderId="0" xfId="0" applyFont="1" applyFill="1" applyAlignment="1">
      <alignment vertical="center"/>
    </xf>
    <xf numFmtId="0" fontId="33" fillId="0" borderId="0" xfId="0" applyFont="1" applyFill="1" applyAlignment="1">
      <alignment vertical="center"/>
    </xf>
    <xf numFmtId="0" fontId="3" fillId="36" borderId="11" xfId="0" applyFont="1" applyFill="1" applyBorder="1" applyAlignment="1">
      <alignment horizontal="center" vertical="center"/>
    </xf>
    <xf numFmtId="167" fontId="3" fillId="35" borderId="11" xfId="45" applyNumberFormat="1" applyFont="1" applyFill="1" applyBorder="1" applyAlignment="1">
      <alignment vertical="center"/>
    </xf>
    <xf numFmtId="3" fontId="3" fillId="36" borderId="11" xfId="72" applyNumberFormat="1" applyFont="1" applyFill="1" applyBorder="1" applyAlignment="1">
      <alignment vertical="center"/>
      <protection/>
    </xf>
    <xf numFmtId="0" fontId="33" fillId="36" borderId="0" xfId="0" applyFont="1" applyFill="1" applyAlignment="1">
      <alignment vertical="center"/>
    </xf>
    <xf numFmtId="167" fontId="3" fillId="34" borderId="11" xfId="45" applyNumberFormat="1" applyFont="1" applyFill="1" applyBorder="1" applyAlignment="1">
      <alignment horizontal="right" vertical="center"/>
    </xf>
    <xf numFmtId="167" fontId="3" fillId="36" borderId="11" xfId="45" applyNumberFormat="1" applyFont="1" applyFill="1" applyBorder="1" applyAlignment="1">
      <alignment horizontal="center" vertical="center"/>
    </xf>
    <xf numFmtId="166" fontId="3" fillId="36" borderId="11" xfId="45" applyNumberFormat="1" applyFont="1" applyFill="1" applyBorder="1" applyAlignment="1">
      <alignment horizontal="right" vertical="center"/>
    </xf>
    <xf numFmtId="167" fontId="3" fillId="36" borderId="11" xfId="45" applyNumberFormat="1" applyFont="1" applyFill="1" applyBorder="1" applyAlignment="1">
      <alignment horizontal="right" vertical="center"/>
    </xf>
    <xf numFmtId="43" fontId="3" fillId="33" borderId="11" xfId="45" applyNumberFormat="1" applyFont="1" applyFill="1" applyBorder="1" applyAlignment="1">
      <alignment vertical="center"/>
    </xf>
    <xf numFmtId="43" fontId="3" fillId="34" borderId="11" xfId="45" applyNumberFormat="1" applyFont="1" applyFill="1" applyBorder="1" applyAlignment="1">
      <alignment horizontal="right" vertical="center"/>
    </xf>
    <xf numFmtId="43" fontId="3" fillId="35" borderId="11" xfId="72" applyNumberFormat="1" applyFont="1" applyFill="1" applyBorder="1" applyAlignment="1">
      <alignment vertical="center"/>
      <protection/>
    </xf>
    <xf numFmtId="166" fontId="3" fillId="33" borderId="11" xfId="45" applyNumberFormat="1" applyFont="1" applyFill="1" applyBorder="1" applyAlignment="1">
      <alignment vertical="center"/>
    </xf>
    <xf numFmtId="166" fontId="3" fillId="34" borderId="11" xfId="45" applyNumberFormat="1" applyFont="1" applyFill="1" applyBorder="1" applyAlignment="1">
      <alignment vertical="center"/>
    </xf>
    <xf numFmtId="43" fontId="3" fillId="36" borderId="11" xfId="45" applyFont="1" applyFill="1" applyBorder="1" applyAlignment="1">
      <alignment vertical="center"/>
    </xf>
    <xf numFmtId="0" fontId="3" fillId="36" borderId="11" xfId="72" applyFont="1" applyFill="1" applyBorder="1" applyAlignment="1">
      <alignment vertical="center"/>
      <protection/>
    </xf>
    <xf numFmtId="0" fontId="2" fillId="36" borderId="11" xfId="72" applyFont="1" applyFill="1" applyBorder="1" applyAlignment="1">
      <alignment vertical="center"/>
      <protection/>
    </xf>
    <xf numFmtId="3" fontId="2" fillId="35" borderId="0" xfId="72" applyNumberFormat="1" applyFont="1" applyFill="1" applyBorder="1" applyAlignment="1">
      <alignment vertical="center"/>
      <protection/>
    </xf>
    <xf numFmtId="0" fontId="2" fillId="36" borderId="0" xfId="72" applyFont="1" applyFill="1" applyBorder="1" applyAlignment="1">
      <alignment vertical="center"/>
      <protection/>
    </xf>
    <xf numFmtId="49" fontId="3" fillId="36" borderId="11" xfId="75" applyNumberFormat="1" applyFont="1" applyFill="1" applyBorder="1" applyAlignment="1">
      <alignment horizontal="left" vertical="center"/>
      <protection/>
    </xf>
    <xf numFmtId="166" fontId="3" fillId="36" borderId="11" xfId="50" applyNumberFormat="1" applyFont="1" applyFill="1" applyBorder="1" applyAlignment="1">
      <alignment horizontal="right" vertical="center"/>
    </xf>
    <xf numFmtId="0" fontId="36" fillId="0" borderId="11" xfId="75" applyFont="1" applyFill="1" applyBorder="1" applyAlignment="1">
      <alignment vertical="center"/>
      <protection/>
    </xf>
    <xf numFmtId="49" fontId="36" fillId="0" borderId="11" xfId="75" applyNumberFormat="1" applyFont="1" applyFill="1" applyBorder="1" applyAlignment="1">
      <alignment vertical="center"/>
      <protection/>
    </xf>
    <xf numFmtId="0" fontId="2" fillId="33" borderId="11" xfId="0" applyFont="1" applyFill="1" applyBorder="1" applyAlignment="1">
      <alignment vertical="center"/>
    </xf>
    <xf numFmtId="0" fontId="2" fillId="34" borderId="11" xfId="0" applyFont="1" applyFill="1" applyBorder="1" applyAlignment="1">
      <alignment vertical="center"/>
    </xf>
    <xf numFmtId="0" fontId="2" fillId="36" borderId="11" xfId="0" applyFont="1" applyFill="1" applyBorder="1" applyAlignment="1">
      <alignment vertical="center"/>
    </xf>
    <xf numFmtId="0" fontId="27" fillId="0" borderId="11" xfId="75" applyFont="1" applyFill="1" applyBorder="1" applyAlignment="1">
      <alignment vertical="center"/>
      <protection/>
    </xf>
    <xf numFmtId="49" fontId="27" fillId="0" borderId="11" xfId="75" applyNumberFormat="1" applyFont="1" applyFill="1" applyBorder="1" applyAlignment="1">
      <alignment vertical="center"/>
      <protection/>
    </xf>
    <xf numFmtId="0" fontId="8" fillId="33" borderId="11" xfId="0" applyFont="1" applyFill="1" applyBorder="1" applyAlignment="1">
      <alignment vertical="center"/>
    </xf>
    <xf numFmtId="0" fontId="8" fillId="34" borderId="11" xfId="0" applyFont="1" applyFill="1" applyBorder="1" applyAlignment="1">
      <alignment vertical="center"/>
    </xf>
    <xf numFmtId="3" fontId="8" fillId="35" borderId="11" xfId="72" applyNumberFormat="1" applyFont="1" applyFill="1" applyBorder="1" applyAlignment="1">
      <alignment vertical="center"/>
      <protection/>
    </xf>
    <xf numFmtId="0" fontId="8" fillId="36" borderId="11" xfId="0" applyFont="1" applyFill="1" applyBorder="1" applyAlignment="1">
      <alignment vertical="center"/>
    </xf>
    <xf numFmtId="166" fontId="16" fillId="37" borderId="11" xfId="47" applyNumberFormat="1" applyFont="1" applyFill="1" applyBorder="1" applyAlignment="1">
      <alignment horizontal="right"/>
    </xf>
    <xf numFmtId="167" fontId="16" fillId="37" borderId="11" xfId="47" applyNumberFormat="1" applyFont="1" applyFill="1" applyBorder="1" applyAlignment="1">
      <alignment horizontal="right"/>
    </xf>
    <xf numFmtId="0" fontId="33" fillId="37" borderId="0" xfId="0" applyFont="1" applyFill="1" applyAlignment="1">
      <alignment/>
    </xf>
    <xf numFmtId="0" fontId="20" fillId="36" borderId="0" xfId="76" applyFont="1" applyFill="1" applyAlignment="1">
      <alignment horizontal="center"/>
      <protection/>
    </xf>
    <xf numFmtId="0" fontId="21" fillId="36" borderId="0" xfId="77" applyFont="1" applyFill="1" applyBorder="1" applyAlignment="1">
      <alignment horizontal="center" vertical="center" wrapText="1"/>
      <protection/>
    </xf>
    <xf numFmtId="0" fontId="5" fillId="36" borderId="0" xfId="76" applyFont="1" applyFill="1" applyAlignment="1">
      <alignment horizontal="center"/>
      <protection/>
    </xf>
    <xf numFmtId="0" fontId="2" fillId="36"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8" fillId="0" borderId="11" xfId="0" applyFont="1" applyBorder="1" applyAlignment="1">
      <alignment horizontal="center"/>
    </xf>
    <xf numFmtId="0" fontId="28" fillId="0" borderId="11" xfId="0" applyFont="1" applyBorder="1" applyAlignment="1">
      <alignment/>
    </xf>
    <xf numFmtId="172" fontId="28" fillId="0" borderId="11" xfId="0" applyNumberFormat="1" applyFont="1" applyFill="1" applyBorder="1" applyAlignment="1">
      <alignment/>
    </xf>
    <xf numFmtId="173" fontId="28" fillId="0" borderId="11" xfId="0" applyNumberFormat="1" applyFont="1" applyFill="1" applyBorder="1" applyAlignment="1">
      <alignment/>
    </xf>
    <xf numFmtId="0" fontId="28" fillId="0" borderId="11" xfId="0" applyFont="1" applyFill="1" applyBorder="1" applyAlignment="1">
      <alignment/>
    </xf>
    <xf numFmtId="171" fontId="28" fillId="36" borderId="11" xfId="0" applyNumberFormat="1" applyFont="1" applyFill="1" applyBorder="1" applyAlignment="1">
      <alignment/>
    </xf>
    <xf numFmtId="167" fontId="28" fillId="36" borderId="11" xfId="43" applyNumberFormat="1" applyFont="1" applyFill="1" applyBorder="1" applyAlignment="1">
      <alignment/>
    </xf>
    <xf numFmtId="0" fontId="28" fillId="0" borderId="11" xfId="0" applyFont="1" applyBorder="1" applyAlignment="1">
      <alignment wrapText="1"/>
    </xf>
    <xf numFmtId="167" fontId="28" fillId="0" borderId="11" xfId="43" applyNumberFormat="1" applyFont="1" applyFill="1" applyBorder="1" applyAlignment="1">
      <alignment/>
    </xf>
    <xf numFmtId="166" fontId="28" fillId="0" borderId="11" xfId="43" applyNumberFormat="1" applyFont="1" applyFill="1" applyBorder="1" applyAlignment="1">
      <alignment/>
    </xf>
    <xf numFmtId="43" fontId="28" fillId="0" borderId="11" xfId="43" applyNumberFormat="1" applyFont="1" applyBorder="1" applyAlignment="1">
      <alignment/>
    </xf>
    <xf numFmtId="43" fontId="28" fillId="0" borderId="11" xfId="43" applyFont="1" applyFill="1" applyBorder="1" applyAlignment="1">
      <alignment/>
    </xf>
    <xf numFmtId="0" fontId="37" fillId="0" borderId="11" xfId="0" applyFont="1" applyBorder="1" applyAlignment="1">
      <alignment horizontal="center"/>
    </xf>
    <xf numFmtId="0" fontId="37" fillId="0" borderId="11" xfId="0" applyFont="1" applyBorder="1" applyAlignment="1">
      <alignment/>
    </xf>
    <xf numFmtId="43" fontId="37" fillId="0" borderId="11" xfId="43" applyNumberFormat="1" applyFont="1" applyFill="1" applyBorder="1" applyAlignment="1">
      <alignment/>
    </xf>
    <xf numFmtId="166" fontId="37" fillId="0" borderId="11" xfId="43" applyNumberFormat="1" applyFont="1" applyFill="1" applyBorder="1" applyAlignment="1">
      <alignment/>
    </xf>
    <xf numFmtId="43" fontId="37" fillId="0" borderId="11" xfId="43" applyNumberFormat="1" applyFont="1" applyBorder="1" applyAlignment="1">
      <alignment/>
    </xf>
    <xf numFmtId="0" fontId="37" fillId="0" borderId="11" xfId="0" applyFont="1" applyBorder="1" applyAlignment="1" quotePrefix="1">
      <alignment/>
    </xf>
    <xf numFmtId="167" fontId="37" fillId="0" borderId="11" xfId="43" applyNumberFormat="1" applyFont="1" applyBorder="1" applyAlignment="1">
      <alignment/>
    </xf>
    <xf numFmtId="0" fontId="37" fillId="0" borderId="11" xfId="0" applyFont="1" applyBorder="1" applyAlignment="1" quotePrefix="1">
      <alignment wrapText="1"/>
    </xf>
    <xf numFmtId="167" fontId="37" fillId="0" borderId="11" xfId="43" applyNumberFormat="1" applyFont="1" applyFill="1" applyBorder="1" applyAlignment="1">
      <alignment/>
    </xf>
    <xf numFmtId="167" fontId="37" fillId="36" borderId="11" xfId="43" applyNumberFormat="1" applyFont="1" applyFill="1" applyBorder="1" applyAlignment="1">
      <alignment/>
    </xf>
    <xf numFmtId="166" fontId="28" fillId="36" borderId="11" xfId="43" applyNumberFormat="1" applyFont="1" applyFill="1" applyBorder="1" applyAlignment="1">
      <alignment/>
    </xf>
    <xf numFmtId="43" fontId="28" fillId="0" borderId="11" xfId="43" applyNumberFormat="1" applyFont="1" applyFill="1" applyBorder="1" applyAlignment="1">
      <alignment/>
    </xf>
    <xf numFmtId="43" fontId="28" fillId="36" borderId="11" xfId="43" applyNumberFormat="1" applyFont="1" applyFill="1" applyBorder="1" applyAlignment="1">
      <alignment/>
    </xf>
    <xf numFmtId="166" fontId="37" fillId="36" borderId="11" xfId="43" applyNumberFormat="1" applyFont="1" applyFill="1" applyBorder="1" applyAlignment="1">
      <alignment/>
    </xf>
    <xf numFmtId="0" fontId="28" fillId="36" borderId="11" xfId="0" applyFont="1" applyFill="1" applyBorder="1" applyAlignment="1">
      <alignment horizontal="center"/>
    </xf>
    <xf numFmtId="0" fontId="28" fillId="36" borderId="11" xfId="0" applyFont="1" applyFill="1" applyBorder="1" applyAlignment="1">
      <alignment/>
    </xf>
    <xf numFmtId="172" fontId="28" fillId="36" borderId="11" xfId="0" applyNumberFormat="1" applyFont="1" applyFill="1" applyBorder="1" applyAlignment="1">
      <alignment horizontal="center"/>
    </xf>
    <xf numFmtId="43" fontId="28" fillId="36" borderId="11" xfId="43" applyNumberFormat="1" applyFont="1" applyFill="1" applyBorder="1" applyAlignment="1">
      <alignment horizontal="center"/>
    </xf>
    <xf numFmtId="167" fontId="28" fillId="36" borderId="11" xfId="43" applyNumberFormat="1" applyFont="1" applyFill="1" applyBorder="1" applyAlignment="1">
      <alignment horizontal="center"/>
    </xf>
    <xf numFmtId="43" fontId="37" fillId="36" borderId="11" xfId="43" applyNumberFormat="1" applyFont="1" applyFill="1" applyBorder="1" applyAlignment="1">
      <alignment/>
    </xf>
    <xf numFmtId="43" fontId="43" fillId="0" borderId="11" xfId="43" applyNumberFormat="1" applyFont="1" applyFill="1" applyBorder="1" applyAlignment="1">
      <alignment/>
    </xf>
    <xf numFmtId="166" fontId="37" fillId="0" borderId="11" xfId="43" applyNumberFormat="1" applyFont="1" applyBorder="1" applyAlignment="1">
      <alignment/>
    </xf>
    <xf numFmtId="0" fontId="28" fillId="36" borderId="11" xfId="0" applyFont="1" applyFill="1" applyBorder="1" applyAlignment="1">
      <alignment wrapText="1"/>
    </xf>
    <xf numFmtId="0" fontId="28" fillId="37" borderId="11" xfId="0" applyFont="1" applyFill="1" applyBorder="1" applyAlignment="1">
      <alignment horizontal="center"/>
    </xf>
    <xf numFmtId="0" fontId="28" fillId="37" borderId="11" xfId="0" applyFont="1" applyFill="1" applyBorder="1" applyAlignment="1">
      <alignment wrapText="1"/>
    </xf>
    <xf numFmtId="166" fontId="28" fillId="37" borderId="11" xfId="43" applyNumberFormat="1" applyFont="1" applyFill="1" applyBorder="1" applyAlignment="1">
      <alignment/>
    </xf>
    <xf numFmtId="43" fontId="28" fillId="37" borderId="11" xfId="43" applyNumberFormat="1" applyFont="1" applyFill="1" applyBorder="1" applyAlignment="1">
      <alignment/>
    </xf>
    <xf numFmtId="0" fontId="28" fillId="37" borderId="11" xfId="0" applyFont="1" applyFill="1" applyBorder="1" applyAlignment="1">
      <alignment/>
    </xf>
    <xf numFmtId="167" fontId="28" fillId="37" borderId="11" xfId="43" applyNumberFormat="1" applyFont="1" applyFill="1" applyBorder="1" applyAlignment="1">
      <alignment/>
    </xf>
    <xf numFmtId="166" fontId="28" fillId="37" borderId="11" xfId="45" applyNumberFormat="1" applyFont="1" applyFill="1" applyBorder="1" applyAlignment="1">
      <alignment/>
    </xf>
    <xf numFmtId="43" fontId="28" fillId="37" borderId="11" xfId="45" applyNumberFormat="1" applyFont="1" applyFill="1" applyBorder="1" applyAlignment="1">
      <alignment/>
    </xf>
    <xf numFmtId="167" fontId="28" fillId="37" borderId="11" xfId="45" applyNumberFormat="1" applyFont="1" applyFill="1" applyBorder="1" applyAlignment="1">
      <alignment/>
    </xf>
    <xf numFmtId="0" fontId="37" fillId="37" borderId="11" xfId="0" applyFont="1" applyFill="1" applyBorder="1" applyAlignment="1">
      <alignment horizontal="center"/>
    </xf>
    <xf numFmtId="0" fontId="37" fillId="37" borderId="11" xfId="0" applyFont="1" applyFill="1" applyBorder="1" applyAlignment="1">
      <alignment/>
    </xf>
    <xf numFmtId="43" fontId="37" fillId="37" borderId="11" xfId="45" applyNumberFormat="1" applyFont="1" applyFill="1" applyBorder="1" applyAlignment="1">
      <alignment/>
    </xf>
    <xf numFmtId="167" fontId="37" fillId="37" borderId="11" xfId="43" applyNumberFormat="1" applyFont="1" applyFill="1" applyBorder="1" applyAlignment="1">
      <alignment/>
    </xf>
    <xf numFmtId="43" fontId="37" fillId="37" borderId="11" xfId="43" applyNumberFormat="1" applyFont="1" applyFill="1" applyBorder="1" applyAlignment="1">
      <alignment/>
    </xf>
    <xf numFmtId="0" fontId="28" fillId="36" borderId="11" xfId="0" applyFont="1" applyFill="1" applyBorder="1" applyAlignment="1">
      <alignment horizontal="center" vertical="center"/>
    </xf>
    <xf numFmtId="0" fontId="28" fillId="36" borderId="11" xfId="0" applyFont="1" applyFill="1" applyBorder="1" applyAlignment="1">
      <alignment horizontal="left" vertical="center" wrapText="1"/>
    </xf>
    <xf numFmtId="166" fontId="28" fillId="36" borderId="11" xfId="43" applyNumberFormat="1" applyFont="1" applyFill="1" applyBorder="1" applyAlignment="1">
      <alignment horizontal="center" vertical="center"/>
    </xf>
    <xf numFmtId="166" fontId="28" fillId="36" borderId="11" xfId="43" applyNumberFormat="1" applyFont="1" applyFill="1" applyBorder="1" applyAlignment="1">
      <alignment horizontal="right" vertical="center"/>
    </xf>
    <xf numFmtId="167" fontId="28" fillId="36" borderId="11" xfId="43" applyNumberFormat="1" applyFont="1" applyFill="1" applyBorder="1" applyAlignment="1">
      <alignment horizontal="center" vertical="center"/>
    </xf>
    <xf numFmtId="43" fontId="37" fillId="0" borderId="11" xfId="43" applyNumberFormat="1" applyFont="1" applyBorder="1" applyAlignment="1">
      <alignment vertical="center"/>
    </xf>
    <xf numFmtId="166" fontId="28" fillId="0" borderId="11" xfId="0" applyNumberFormat="1" applyFont="1" applyBorder="1" applyAlignment="1">
      <alignment horizontal="center"/>
    </xf>
    <xf numFmtId="166" fontId="37" fillId="37" borderId="11" xfId="43" applyNumberFormat="1" applyFont="1" applyFill="1" applyBorder="1" applyAlignment="1">
      <alignment/>
    </xf>
    <xf numFmtId="3" fontId="3" fillId="0" borderId="11" xfId="43" applyNumberFormat="1" applyFont="1" applyFill="1" applyBorder="1" applyAlignment="1">
      <alignment horizontal="right"/>
    </xf>
    <xf numFmtId="166" fontId="37" fillId="0" borderId="11" xfId="43" applyNumberFormat="1" applyFont="1" applyFill="1" applyBorder="1" applyAlignment="1">
      <alignment horizontal="center"/>
    </xf>
    <xf numFmtId="167" fontId="37" fillId="0" borderId="11" xfId="43" applyNumberFormat="1" applyFont="1" applyFill="1" applyBorder="1" applyAlignment="1">
      <alignment horizontal="center"/>
    </xf>
    <xf numFmtId="167" fontId="46" fillId="0" borderId="11" xfId="43" applyNumberFormat="1" applyFont="1" applyFill="1" applyBorder="1" applyAlignment="1">
      <alignment/>
    </xf>
    <xf numFmtId="167" fontId="44" fillId="0" borderId="11" xfId="43" applyNumberFormat="1" applyFont="1" applyFill="1" applyBorder="1" applyAlignment="1">
      <alignment/>
    </xf>
    <xf numFmtId="0" fontId="37" fillId="0" borderId="11" xfId="0" applyFont="1" applyBorder="1" applyAlignment="1">
      <alignment horizontal="center" vertical="center"/>
    </xf>
    <xf numFmtId="0" fontId="37" fillId="0" borderId="11" xfId="0" applyFont="1" applyBorder="1" applyAlignment="1">
      <alignment horizontal="left" vertical="center" wrapText="1"/>
    </xf>
    <xf numFmtId="43" fontId="37" fillId="0" borderId="11" xfId="43" applyNumberFormat="1" applyFont="1" applyFill="1" applyBorder="1" applyAlignment="1">
      <alignment horizontal="center" vertical="center"/>
    </xf>
    <xf numFmtId="166" fontId="37" fillId="36" borderId="11" xfId="43" applyNumberFormat="1" applyFont="1" applyFill="1" applyBorder="1" applyAlignment="1">
      <alignment horizontal="center" vertical="center"/>
    </xf>
    <xf numFmtId="167" fontId="37" fillId="0" borderId="11" xfId="43" applyNumberFormat="1" applyFont="1" applyFill="1" applyBorder="1" applyAlignment="1">
      <alignment horizontal="center" vertical="center"/>
    </xf>
    <xf numFmtId="0" fontId="37" fillId="0" borderId="11" xfId="0" applyFont="1" applyBorder="1" applyAlignment="1" quotePrefix="1">
      <alignment horizontal="left" vertical="center" wrapText="1"/>
    </xf>
    <xf numFmtId="167" fontId="37" fillId="36" borderId="11" xfId="43" applyNumberFormat="1" applyFont="1" applyFill="1" applyBorder="1" applyAlignment="1">
      <alignment horizontal="center" vertical="center"/>
    </xf>
    <xf numFmtId="0" fontId="37" fillId="0" borderId="11" xfId="0" applyFont="1" applyBorder="1" applyAlignment="1">
      <alignment wrapText="1"/>
    </xf>
    <xf numFmtId="167" fontId="37" fillId="37" borderId="11" xfId="43" applyNumberFormat="1" applyFont="1" applyFill="1" applyBorder="1" applyAlignment="1">
      <alignment horizontal="right"/>
    </xf>
    <xf numFmtId="167" fontId="37" fillId="0" borderId="11" xfId="43" applyNumberFormat="1" applyFont="1" applyFill="1" applyBorder="1" applyAlignment="1">
      <alignment horizontal="right"/>
    </xf>
    <xf numFmtId="166" fontId="37" fillId="37" borderId="11" xfId="43" applyNumberFormat="1" applyFont="1" applyFill="1" applyBorder="1" applyAlignment="1">
      <alignment horizontal="right"/>
    </xf>
    <xf numFmtId="0" fontId="8" fillId="0" borderId="11" xfId="0" applyFont="1" applyBorder="1" applyAlignment="1">
      <alignment horizontal="center" vertical="center"/>
    </xf>
    <xf numFmtId="166" fontId="3" fillId="36" borderId="11" xfId="45" applyNumberFormat="1" applyFont="1" applyFill="1" applyBorder="1" applyAlignment="1">
      <alignment horizontal="center" vertical="center" wrapText="1"/>
    </xf>
    <xf numFmtId="167" fontId="3" fillId="36" borderId="11" xfId="45" applyNumberFormat="1" applyFont="1" applyFill="1" applyBorder="1" applyAlignment="1">
      <alignment horizontal="center" vertical="center" wrapText="1"/>
    </xf>
    <xf numFmtId="0" fontId="33" fillId="0" borderId="0" xfId="75" applyFont="1" applyFill="1" applyAlignment="1" quotePrefix="1">
      <alignment vertical="center"/>
      <protection/>
    </xf>
    <xf numFmtId="0" fontId="8" fillId="0" borderId="11" xfId="76" applyFont="1" applyFill="1" applyBorder="1" applyAlignment="1">
      <alignment horizontal="center"/>
      <protection/>
    </xf>
    <xf numFmtId="0" fontId="8" fillId="36" borderId="11" xfId="76" applyFont="1" applyFill="1" applyBorder="1" applyAlignment="1">
      <alignment horizontal="center"/>
      <protection/>
    </xf>
    <xf numFmtId="0" fontId="8" fillId="0" borderId="11" xfId="76" applyFont="1" applyFill="1" applyBorder="1" applyAlignment="1">
      <alignment horizontal="center" vertical="center" wrapText="1"/>
      <protection/>
    </xf>
    <xf numFmtId="0" fontId="9" fillId="0" borderId="11" xfId="76" applyFont="1" applyFill="1" applyBorder="1" applyAlignment="1">
      <alignment horizontal="left" vertical="center" wrapText="1"/>
      <protection/>
    </xf>
    <xf numFmtId="0" fontId="9" fillId="0" borderId="11" xfId="76" applyFont="1" applyFill="1" applyBorder="1" applyAlignment="1">
      <alignment horizontal="center" vertical="center" wrapText="1"/>
      <protection/>
    </xf>
    <xf numFmtId="49"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right" vertical="center" wrapText="1"/>
      <protection/>
    </xf>
    <xf numFmtId="49" fontId="38" fillId="0" borderId="11" xfId="0" applyNumberFormat="1" applyFont="1" applyFill="1" applyBorder="1" applyAlignment="1" applyProtection="1">
      <alignment horizontal="center" vertical="center" wrapText="1"/>
      <protection/>
    </xf>
    <xf numFmtId="0" fontId="38" fillId="0" borderId="11" xfId="0" applyFont="1" applyFill="1" applyBorder="1" applyAlignment="1" applyProtection="1">
      <alignment horizontal="left" vertical="center" wrapText="1"/>
      <protection/>
    </xf>
    <xf numFmtId="0" fontId="38" fillId="0" borderId="11" xfId="0" applyFont="1" applyFill="1" applyBorder="1" applyAlignment="1" applyProtection="1">
      <alignment horizontal="center" vertical="center" wrapText="1"/>
      <protection/>
    </xf>
    <xf numFmtId="0" fontId="38" fillId="0" borderId="11" xfId="0" applyFont="1" applyFill="1" applyBorder="1" applyAlignment="1" applyProtection="1">
      <alignment horizontal="right" vertical="center" wrapText="1"/>
      <protection/>
    </xf>
    <xf numFmtId="166" fontId="38" fillId="0" borderId="11" xfId="0" applyNumberFormat="1" applyFont="1" applyFill="1" applyBorder="1" applyAlignment="1" applyProtection="1">
      <alignment horizontal="right" vertical="center" wrapText="1"/>
      <protection/>
    </xf>
    <xf numFmtId="1" fontId="38" fillId="0" borderId="11" xfId="0" applyNumberFormat="1" applyFont="1" applyFill="1" applyBorder="1" applyAlignment="1" applyProtection="1">
      <alignment horizontal="right" vertical="center" wrapText="1"/>
      <protection/>
    </xf>
    <xf numFmtId="166" fontId="3" fillId="37"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xf numFmtId="166" fontId="3" fillId="0" borderId="11" xfId="0" applyNumberFormat="1" applyFont="1" applyFill="1" applyBorder="1" applyAlignment="1" applyProtection="1">
      <alignment horizontal="right" vertical="center" wrapText="1"/>
      <protection/>
    </xf>
    <xf numFmtId="1" fontId="3" fillId="0" borderId="11" xfId="0" applyNumberFormat="1" applyFont="1" applyFill="1" applyBorder="1" applyAlignment="1" applyProtection="1">
      <alignment horizontal="right" vertical="center" wrapText="1"/>
      <protection/>
    </xf>
    <xf numFmtId="166" fontId="3" fillId="0" borderId="11" xfId="43" applyNumberFormat="1" applyFont="1" applyFill="1" applyBorder="1" applyAlignment="1" applyProtection="1">
      <alignment horizontal="right" vertical="center" wrapText="1"/>
      <protection/>
    </xf>
    <xf numFmtId="168" fontId="3" fillId="0" borderId="11" xfId="0" applyNumberFormat="1" applyFont="1" applyFill="1" applyBorder="1" applyAlignment="1" applyProtection="1">
      <alignment horizontal="right" vertical="center" wrapText="1"/>
      <protection/>
    </xf>
    <xf numFmtId="43" fontId="3" fillId="0" borderId="11" xfId="0" applyNumberFormat="1" applyFont="1" applyFill="1" applyBorder="1" applyAlignment="1" applyProtection="1">
      <alignment horizontal="right" vertical="center" wrapText="1"/>
      <protection/>
    </xf>
    <xf numFmtId="43" fontId="3" fillId="0" borderId="11" xfId="43" applyNumberFormat="1" applyFont="1" applyFill="1" applyBorder="1" applyAlignment="1" applyProtection="1">
      <alignment horizontal="right" vertical="center" wrapText="1"/>
      <protection/>
    </xf>
    <xf numFmtId="2" fontId="3" fillId="0" borderId="11" xfId="0" applyNumberFormat="1" applyFont="1" applyFill="1" applyBorder="1" applyAlignment="1" applyProtection="1">
      <alignment horizontal="right" vertical="center" wrapText="1"/>
      <protection/>
    </xf>
    <xf numFmtId="49" fontId="3" fillId="36" borderId="11" xfId="0" applyNumberFormat="1" applyFont="1" applyFill="1" applyBorder="1" applyAlignment="1" applyProtection="1">
      <alignment horizontal="center" vertical="center" wrapText="1"/>
      <protection/>
    </xf>
    <xf numFmtId="0" fontId="3" fillId="36" borderId="11" xfId="0" applyFont="1" applyFill="1" applyBorder="1" applyAlignment="1" applyProtection="1">
      <alignment horizontal="left" vertical="center" wrapText="1"/>
      <protection/>
    </xf>
    <xf numFmtId="0" fontId="3" fillId="36" borderId="11" xfId="0" applyFont="1" applyFill="1" applyBorder="1" applyAlignment="1" applyProtection="1">
      <alignment horizontal="center" vertical="center" wrapText="1"/>
      <protection/>
    </xf>
    <xf numFmtId="167" fontId="3" fillId="0" borderId="11" xfId="0" applyNumberFormat="1" applyFont="1" applyFill="1" applyBorder="1" applyAlignment="1" applyProtection="1">
      <alignment horizontal="right" vertical="center" wrapText="1"/>
      <protection/>
    </xf>
    <xf numFmtId="1" fontId="3" fillId="36" borderId="11" xfId="0" applyNumberFormat="1" applyFont="1" applyFill="1" applyBorder="1" applyAlignment="1" applyProtection="1">
      <alignment horizontal="right" vertical="center" wrapText="1"/>
      <protection/>
    </xf>
    <xf numFmtId="168" fontId="3" fillId="36" borderId="11" xfId="0" applyNumberFormat="1" applyFont="1" applyFill="1" applyBorder="1" applyAlignment="1" applyProtection="1">
      <alignment horizontal="right" vertical="center" wrapText="1"/>
      <protection/>
    </xf>
    <xf numFmtId="0" fontId="3" fillId="36" borderId="11" xfId="0" applyFont="1" applyFill="1" applyBorder="1" applyAlignment="1" applyProtection="1" quotePrefix="1">
      <alignment horizontal="left" vertical="center" wrapText="1"/>
      <protection/>
    </xf>
    <xf numFmtId="0" fontId="9" fillId="0" borderId="11" xfId="0" applyFont="1" applyBorder="1" applyAlignment="1">
      <alignment horizontal="left" vertical="center" wrapText="1"/>
    </xf>
    <xf numFmtId="167" fontId="3" fillId="37" borderId="11" xfId="0" applyNumberFormat="1" applyFont="1" applyFill="1" applyBorder="1" applyAlignment="1" applyProtection="1">
      <alignment horizontal="right" vertical="center" wrapText="1"/>
      <protection/>
    </xf>
    <xf numFmtId="0" fontId="16" fillId="0" borderId="11" xfId="0" applyFont="1" applyFill="1" applyBorder="1" applyAlignment="1" applyProtection="1">
      <alignment horizontal="center" vertical="center" wrapText="1"/>
      <protection/>
    </xf>
    <xf numFmtId="0" fontId="3" fillId="0" borderId="11" xfId="0" applyFont="1" applyFill="1" applyBorder="1" applyAlignment="1" applyProtection="1" quotePrefix="1">
      <alignment horizontal="left" vertical="center" wrapText="1"/>
      <protection/>
    </xf>
    <xf numFmtId="1" fontId="3" fillId="37" borderId="11" xfId="0" applyNumberFormat="1" applyFont="1" applyFill="1" applyBorder="1" applyAlignment="1" applyProtection="1">
      <alignment horizontal="right" vertical="center" wrapText="1"/>
      <protection/>
    </xf>
    <xf numFmtId="0" fontId="3" fillId="0" borderId="11" xfId="0" applyFont="1" applyFill="1" applyBorder="1" applyAlignment="1" applyProtection="1">
      <alignment horizontal="right" vertical="center" wrapText="1"/>
      <protection/>
    </xf>
    <xf numFmtId="0" fontId="3" fillId="36" borderId="11" xfId="0" applyFont="1" applyFill="1" applyBorder="1" applyAlignment="1" applyProtection="1">
      <alignment horizontal="right" vertical="center" wrapText="1"/>
      <protection/>
    </xf>
    <xf numFmtId="43" fontId="3" fillId="36" borderId="11" xfId="0"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quotePrefix="1">
      <alignment horizontal="left" vertical="center" wrapText="1"/>
      <protection/>
    </xf>
    <xf numFmtId="0" fontId="5" fillId="0" borderId="11" xfId="0" applyFont="1" applyFill="1" applyBorder="1" applyAlignment="1" applyProtection="1">
      <alignment horizontal="center" vertical="center" wrapText="1"/>
      <protection/>
    </xf>
    <xf numFmtId="166" fontId="5" fillId="0" borderId="11" xfId="0" applyNumberFormat="1" applyFont="1" applyFill="1" applyBorder="1" applyAlignment="1" applyProtection="1">
      <alignment horizontal="right" vertical="center" wrapText="1"/>
      <protection/>
    </xf>
    <xf numFmtId="166" fontId="5" fillId="36" borderId="11" xfId="0" applyNumberFormat="1" applyFont="1" applyFill="1" applyBorder="1" applyAlignment="1" applyProtection="1">
      <alignment horizontal="right" vertical="center" wrapText="1"/>
      <protection/>
    </xf>
    <xf numFmtId="168" fontId="5" fillId="0" borderId="11" xfId="0" applyNumberFormat="1" applyFont="1" applyFill="1" applyBorder="1" applyAlignment="1" applyProtection="1">
      <alignment horizontal="right" vertical="center" wrapText="1"/>
      <protection/>
    </xf>
    <xf numFmtId="0" fontId="7"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2" fontId="3" fillId="36" borderId="11" xfId="0" applyNumberFormat="1" applyFont="1" applyFill="1" applyBorder="1" applyAlignment="1" applyProtection="1">
      <alignment horizontal="right" vertical="center" wrapText="1"/>
      <protection/>
    </xf>
    <xf numFmtId="2" fontId="5" fillId="0" borderId="11" xfId="0" applyNumberFormat="1" applyFont="1" applyFill="1" applyBorder="1" applyAlignment="1" applyProtection="1">
      <alignment horizontal="right" vertical="center" wrapText="1"/>
      <protection/>
    </xf>
    <xf numFmtId="2" fontId="3" fillId="0" borderId="11" xfId="43" applyNumberFormat="1" applyFont="1" applyFill="1" applyBorder="1" applyAlignment="1" applyProtection="1">
      <alignment horizontal="right" vertical="center" wrapText="1"/>
      <protection/>
    </xf>
    <xf numFmtId="0" fontId="8" fillId="0" borderId="11" xfId="0" applyFont="1" applyFill="1" applyBorder="1" applyAlignment="1">
      <alignment vertical="center" wrapText="1"/>
    </xf>
    <xf numFmtId="0" fontId="8" fillId="0" borderId="11" xfId="75" applyFont="1" applyFill="1" applyBorder="1" applyAlignment="1">
      <alignment vertical="center" wrapText="1"/>
      <protection/>
    </xf>
    <xf numFmtId="0" fontId="9" fillId="0" borderId="11" xfId="0" applyFont="1" applyFill="1" applyBorder="1" applyAlignment="1">
      <alignment vertical="center"/>
    </xf>
    <xf numFmtId="3" fontId="8" fillId="36" borderId="11" xfId="0" applyNumberFormat="1" applyFont="1" applyFill="1" applyBorder="1" applyAlignment="1">
      <alignment vertical="center"/>
    </xf>
    <xf numFmtId="165" fontId="8" fillId="0" borderId="11" xfId="0" applyNumberFormat="1" applyFont="1" applyBorder="1" applyAlignment="1">
      <alignment vertical="center"/>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3" fontId="9" fillId="0" borderId="11" xfId="0" applyNumberFormat="1" applyFont="1" applyBorder="1" applyAlignment="1">
      <alignment horizontal="center" vertical="center"/>
    </xf>
    <xf numFmtId="0" fontId="8" fillId="0" borderId="11" xfId="0" applyFont="1" applyBorder="1" applyAlignment="1">
      <alignment vertical="center" wrapText="1"/>
    </xf>
    <xf numFmtId="0" fontId="9" fillId="0" borderId="11" xfId="0" applyFont="1" applyBorder="1" applyAlignment="1">
      <alignment vertical="center" wrapText="1"/>
    </xf>
    <xf numFmtId="0" fontId="9" fillId="0" borderId="11" xfId="0" applyFont="1" applyBorder="1" applyAlignment="1">
      <alignment vertical="center"/>
    </xf>
    <xf numFmtId="166" fontId="37" fillId="0" borderId="11" xfId="48" applyNumberFormat="1" applyFont="1" applyFill="1" applyBorder="1" applyAlignment="1">
      <alignment horizontal="center" vertical="center" wrapText="1"/>
    </xf>
    <xf numFmtId="165" fontId="9"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wrapText="1"/>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quotePrefix="1">
      <alignment vertical="center" wrapText="1"/>
    </xf>
    <xf numFmtId="3" fontId="10" fillId="0" borderId="11" xfId="0" applyNumberFormat="1" applyFont="1" applyFill="1" applyBorder="1" applyAlignment="1">
      <alignment horizontal="center" vertical="center"/>
    </xf>
    <xf numFmtId="0" fontId="3" fillId="0" borderId="11" xfId="0" applyFont="1" applyBorder="1" applyAlignment="1">
      <alignment vertical="center" wrapText="1"/>
    </xf>
    <xf numFmtId="0" fontId="2" fillId="0" borderId="11" xfId="0" applyFont="1" applyBorder="1" applyAlignment="1">
      <alignment vertical="center"/>
    </xf>
    <xf numFmtId="0" fontId="3" fillId="0" borderId="11" xfId="0" applyFont="1" applyBorder="1" applyAlignment="1">
      <alignment horizontal="left" vertical="center" wrapText="1" inden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3" fillId="0" borderId="11" xfId="0" applyFont="1" applyBorder="1" applyAlignment="1" quotePrefix="1">
      <alignment horizontal="left" vertical="center" wrapText="1" indent="1"/>
    </xf>
    <xf numFmtId="0" fontId="3" fillId="0" borderId="11" xfId="0" applyFont="1" applyBorder="1" applyAlignment="1">
      <alignment horizontal="center" vertical="center" shrinkToFit="1"/>
    </xf>
    <xf numFmtId="166" fontId="3" fillId="0" borderId="11" xfId="43" applyNumberFormat="1" applyFont="1" applyBorder="1" applyAlignment="1">
      <alignment horizontal="center" vertical="center" shrinkToFit="1"/>
    </xf>
    <xf numFmtId="166" fontId="3" fillId="0" borderId="11" xfId="43" applyNumberFormat="1" applyFont="1" applyBorder="1" applyAlignment="1">
      <alignment vertical="center"/>
    </xf>
    <xf numFmtId="4" fontId="10" fillId="0" borderId="11" xfId="0" applyNumberFormat="1" applyFont="1" applyFill="1" applyBorder="1" applyAlignment="1">
      <alignment horizontal="center" vertical="center"/>
    </xf>
    <xf numFmtId="0" fontId="3" fillId="0" borderId="0" xfId="75" applyFont="1" applyFill="1" applyBorder="1" applyAlignment="1">
      <alignment horizontal="right" vertical="center"/>
      <protection/>
    </xf>
    <xf numFmtId="49" fontId="3" fillId="0" borderId="0" xfId="75" applyNumberFormat="1" applyFont="1" applyFill="1" applyBorder="1" applyAlignment="1">
      <alignment vertical="center"/>
      <protection/>
    </xf>
    <xf numFmtId="0" fontId="3" fillId="0" borderId="0" xfId="75" applyFont="1" applyFill="1" applyBorder="1" applyAlignment="1">
      <alignment horizontal="center" vertical="center"/>
      <protection/>
    </xf>
    <xf numFmtId="166" fontId="3" fillId="33" borderId="0" xfId="49" applyNumberFormat="1" applyFont="1" applyFill="1" applyBorder="1" applyAlignment="1">
      <alignment vertical="center"/>
    </xf>
    <xf numFmtId="166" fontId="3" fillId="34" borderId="0" xfId="49" applyNumberFormat="1" applyFont="1" applyFill="1" applyBorder="1" applyAlignment="1">
      <alignment horizontal="right" vertical="center"/>
    </xf>
    <xf numFmtId="3" fontId="3" fillId="35" borderId="0" xfId="72" applyNumberFormat="1" applyFont="1" applyFill="1" applyBorder="1" applyAlignment="1">
      <alignment vertical="center"/>
      <protection/>
    </xf>
    <xf numFmtId="166" fontId="3" fillId="0" borderId="0" xfId="45" applyNumberFormat="1" applyFont="1" applyFill="1" applyBorder="1" applyAlignment="1">
      <alignment vertical="center"/>
    </xf>
    <xf numFmtId="0" fontId="33" fillId="0" borderId="0" xfId="75" applyFont="1" applyFill="1" applyBorder="1" applyAlignment="1">
      <alignment vertical="center"/>
      <protection/>
    </xf>
    <xf numFmtId="49" fontId="33" fillId="0" borderId="0" xfId="75" applyNumberFormat="1" applyFont="1" applyFill="1" applyBorder="1" applyAlignment="1">
      <alignment vertical="center"/>
      <protection/>
    </xf>
    <xf numFmtId="0" fontId="3" fillId="33" borderId="0" xfId="0" applyFont="1" applyFill="1" applyBorder="1" applyAlignment="1">
      <alignment vertical="center"/>
    </xf>
    <xf numFmtId="0" fontId="3" fillId="34" borderId="0" xfId="0" applyFont="1" applyFill="1" applyBorder="1" applyAlignment="1">
      <alignment vertical="center"/>
    </xf>
    <xf numFmtId="0" fontId="3" fillId="0" borderId="0" xfId="0" applyFont="1" applyFill="1" applyBorder="1" applyAlignment="1">
      <alignment vertical="center"/>
    </xf>
    <xf numFmtId="0" fontId="33" fillId="0" borderId="0" xfId="0" applyFont="1" applyFill="1" applyBorder="1" applyAlignment="1">
      <alignment vertical="center"/>
    </xf>
    <xf numFmtId="0" fontId="33" fillId="33" borderId="0" xfId="0" applyFont="1" applyFill="1" applyBorder="1" applyAlignment="1">
      <alignment vertical="center"/>
    </xf>
    <xf numFmtId="0" fontId="33" fillId="34" borderId="0" xfId="0" applyFont="1" applyFill="1" applyBorder="1" applyAlignment="1">
      <alignment vertical="center"/>
    </xf>
    <xf numFmtId="0" fontId="33" fillId="35" borderId="0" xfId="0" applyFont="1" applyFill="1" applyBorder="1" applyAlignment="1">
      <alignment vertical="center"/>
    </xf>
    <xf numFmtId="0" fontId="33" fillId="33" borderId="0" xfId="0" applyFont="1" applyFill="1" applyAlignment="1">
      <alignment vertical="center"/>
    </xf>
    <xf numFmtId="0" fontId="33" fillId="34" borderId="0" xfId="0" applyFont="1" applyFill="1" applyAlignment="1">
      <alignment vertical="center"/>
    </xf>
    <xf numFmtId="0" fontId="33" fillId="35" borderId="0" xfId="0" applyFont="1" applyFill="1" applyAlignment="1">
      <alignment vertical="center"/>
    </xf>
    <xf numFmtId="0" fontId="9" fillId="36" borderId="11" xfId="76" applyFont="1" applyFill="1" applyBorder="1" applyAlignment="1">
      <alignment horizontal="left" vertical="center" wrapText="1"/>
      <protection/>
    </xf>
    <xf numFmtId="0" fontId="8" fillId="36" borderId="11" xfId="76" applyFont="1" applyFill="1" applyBorder="1" applyAlignment="1">
      <alignment horizontal="left" vertical="center" wrapText="1"/>
      <protection/>
    </xf>
    <xf numFmtId="166" fontId="37" fillId="0" borderId="11" xfId="45" applyNumberFormat="1" applyFont="1" applyFill="1" applyBorder="1" applyAlignment="1">
      <alignment/>
    </xf>
    <xf numFmtId="167" fontId="18" fillId="0" borderId="11" xfId="43" applyNumberFormat="1" applyFont="1" applyFill="1" applyBorder="1" applyAlignment="1">
      <alignment/>
    </xf>
    <xf numFmtId="167" fontId="18" fillId="36" borderId="11" xfId="43" applyNumberFormat="1" applyFont="1" applyFill="1" applyBorder="1" applyAlignment="1">
      <alignment/>
    </xf>
    <xf numFmtId="43" fontId="3" fillId="37" borderId="11" xfId="0" applyNumberFormat="1" applyFont="1" applyFill="1" applyBorder="1" applyAlignment="1" applyProtection="1">
      <alignment horizontal="right" vertical="center" wrapText="1"/>
      <protection/>
    </xf>
    <xf numFmtId="168" fontId="9" fillId="0" borderId="11" xfId="75" applyNumberFormat="1" applyFont="1" applyFill="1" applyBorder="1" applyAlignment="1">
      <alignment horizontal="center" vertical="center" wrapText="1"/>
      <protection/>
    </xf>
    <xf numFmtId="2" fontId="9" fillId="0" borderId="11" xfId="75" applyNumberFormat="1" applyFont="1" applyFill="1" applyBorder="1" applyAlignment="1">
      <alignment horizontal="center" vertical="center" wrapText="1"/>
      <protection/>
    </xf>
    <xf numFmtId="1" fontId="9" fillId="0" borderId="11" xfId="75" applyNumberFormat="1" applyFont="1" applyFill="1" applyBorder="1" applyAlignment="1">
      <alignment horizontal="center" vertical="center" wrapText="1"/>
      <protection/>
    </xf>
    <xf numFmtId="0" fontId="16" fillId="0" borderId="0" xfId="0" applyFont="1" applyBorder="1" applyAlignment="1">
      <alignment/>
    </xf>
    <xf numFmtId="0" fontId="16" fillId="36" borderId="0" xfId="0" applyFont="1" applyFill="1" applyAlignment="1">
      <alignment/>
    </xf>
    <xf numFmtId="0" fontId="16" fillId="36" borderId="0" xfId="0" applyFont="1" applyFill="1" applyAlignment="1">
      <alignment horizontal="center"/>
    </xf>
    <xf numFmtId="0" fontId="16" fillId="0" borderId="0" xfId="0" applyFont="1" applyAlignment="1">
      <alignment horizontal="center"/>
    </xf>
    <xf numFmtId="0" fontId="16" fillId="38" borderId="0" xfId="0" applyFont="1" applyFill="1" applyAlignment="1">
      <alignment/>
    </xf>
    <xf numFmtId="168" fontId="2" fillId="0" borderId="11" xfId="0" applyNumberFormat="1" applyFont="1" applyFill="1" applyBorder="1" applyAlignment="1">
      <alignment horizontal="center" vertical="center" wrapText="1"/>
    </xf>
    <xf numFmtId="0" fontId="36" fillId="0" borderId="0" xfId="0" applyFont="1" applyAlignment="1">
      <alignment horizontal="center" vertical="center" wrapText="1"/>
    </xf>
    <xf numFmtId="1" fontId="2" fillId="36"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68" fontId="2" fillId="36"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166" fontId="3" fillId="36" borderId="11" xfId="43"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167" fontId="3" fillId="0" borderId="11" xfId="43" applyNumberFormat="1" applyFont="1" applyFill="1" applyBorder="1" applyAlignment="1">
      <alignment horizontal="center" vertical="center" wrapText="1"/>
    </xf>
    <xf numFmtId="0" fontId="33" fillId="0" borderId="0" xfId="0" applyFont="1" applyAlignment="1">
      <alignment horizontal="center" vertical="center" wrapText="1"/>
    </xf>
    <xf numFmtId="167" fontId="3" fillId="36" borderId="11" xfId="43" applyNumberFormat="1" applyFont="1" applyFill="1" applyBorder="1" applyAlignment="1">
      <alignment horizontal="center" vertical="center" wrapText="1"/>
    </xf>
    <xf numFmtId="171" fontId="3" fillId="37" borderId="11" xfId="45" applyNumberFormat="1" applyFont="1" applyFill="1" applyBorder="1" applyAlignment="1">
      <alignment horizontal="center" vertical="center" wrapText="1"/>
    </xf>
    <xf numFmtId="167" fontId="3" fillId="37" borderId="11" xfId="43"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66" fontId="2" fillId="0" borderId="11" xfId="0" applyNumberFormat="1" applyFont="1" applyFill="1" applyBorder="1" applyAlignment="1">
      <alignment horizontal="center" vertical="center" wrapText="1"/>
    </xf>
    <xf numFmtId="166" fontId="36" fillId="0" borderId="0" xfId="43" applyNumberFormat="1" applyFont="1" applyAlignment="1">
      <alignment horizontal="center" vertical="center" wrapText="1"/>
    </xf>
    <xf numFmtId="43" fontId="3" fillId="37" borderId="11" xfId="0" applyNumberFormat="1" applyFont="1" applyFill="1" applyBorder="1" applyAlignment="1">
      <alignment horizontal="center" vertical="center" wrapText="1"/>
    </xf>
    <xf numFmtId="166" fontId="3" fillId="37" borderId="11"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166" fontId="33" fillId="0" borderId="0" xfId="0" applyNumberFormat="1" applyFont="1" applyAlignment="1">
      <alignment horizontal="center" vertical="center" wrapText="1"/>
    </xf>
    <xf numFmtId="166" fontId="36" fillId="0" borderId="0" xfId="0" applyNumberFormat="1" applyFont="1" applyAlignment="1">
      <alignment horizontal="center" vertical="center" wrapText="1"/>
    </xf>
    <xf numFmtId="43" fontId="3" fillId="0" borderId="11" xfId="0" applyNumberFormat="1" applyFont="1" applyFill="1" applyBorder="1" applyAlignment="1">
      <alignment horizontal="center" vertical="center" wrapText="1"/>
    </xf>
    <xf numFmtId="167" fontId="3" fillId="0" borderId="11" xfId="0" applyNumberFormat="1" applyFont="1" applyFill="1" applyBorder="1" applyAlignment="1">
      <alignment horizontal="center" vertical="center" wrapText="1"/>
    </xf>
    <xf numFmtId="168" fontId="3" fillId="0" borderId="11" xfId="0" applyNumberFormat="1" applyFont="1" applyFill="1" applyBorder="1" applyAlignment="1">
      <alignment horizontal="center" vertical="center" wrapText="1"/>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3" fontId="3" fillId="36" borderId="0" xfId="0" applyNumberFormat="1" applyFont="1" applyFill="1" applyBorder="1" applyAlignment="1">
      <alignment horizontal="center" vertical="center"/>
    </xf>
    <xf numFmtId="0" fontId="3" fillId="36" borderId="0" xfId="0" applyFont="1" applyFill="1" applyBorder="1" applyAlignment="1">
      <alignment horizontal="center" vertical="center"/>
    </xf>
    <xf numFmtId="0" fontId="3" fillId="36" borderId="0" xfId="0" applyFont="1" applyFill="1" applyBorder="1" applyAlignment="1">
      <alignment/>
    </xf>
    <xf numFmtId="3" fontId="3" fillId="36" borderId="0" xfId="0" applyNumberFormat="1" applyFont="1" applyFill="1" applyBorder="1" applyAlignment="1">
      <alignment/>
    </xf>
    <xf numFmtId="2" fontId="3" fillId="36" borderId="0" xfId="0" applyNumberFormat="1" applyFont="1" applyFill="1" applyBorder="1" applyAlignment="1">
      <alignment/>
    </xf>
    <xf numFmtId="0" fontId="2" fillId="36" borderId="0" xfId="0" applyFont="1" applyFill="1" applyBorder="1" applyAlignment="1">
      <alignment/>
    </xf>
    <xf numFmtId="3" fontId="3" fillId="37" borderId="0" xfId="0" applyNumberFormat="1" applyFont="1" applyFill="1" applyBorder="1" applyAlignment="1">
      <alignment horizontal="right"/>
    </xf>
    <xf numFmtId="165" fontId="3" fillId="36" borderId="0" xfId="0" applyNumberFormat="1" applyFont="1" applyFill="1" applyBorder="1" applyAlignment="1">
      <alignment/>
    </xf>
    <xf numFmtId="0" fontId="3" fillId="37" borderId="0" xfId="0" applyFont="1" applyFill="1" applyBorder="1" applyAlignment="1">
      <alignment wrapText="1"/>
    </xf>
    <xf numFmtId="1" fontId="3" fillId="37" borderId="0" xfId="0" applyNumberFormat="1" applyFont="1" applyFill="1" applyBorder="1" applyAlignment="1">
      <alignment/>
    </xf>
    <xf numFmtId="0" fontId="3" fillId="37" borderId="0" xfId="0" applyFont="1" applyFill="1" applyBorder="1" applyAlignment="1">
      <alignment/>
    </xf>
    <xf numFmtId="0" fontId="89" fillId="36" borderId="0" xfId="0" applyFont="1" applyFill="1" applyBorder="1" applyAlignment="1">
      <alignment/>
    </xf>
    <xf numFmtId="3" fontId="2" fillId="36" borderId="0" xfId="0" applyNumberFormat="1"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5" fillId="0" borderId="0" xfId="0" applyFont="1" applyFill="1" applyBorder="1" applyAlignment="1">
      <alignment/>
    </xf>
    <xf numFmtId="166" fontId="5" fillId="0" borderId="0" xfId="0" applyNumberFormat="1" applyFont="1" applyFill="1" applyBorder="1" applyAlignment="1">
      <alignment horizontal="center"/>
    </xf>
    <xf numFmtId="166" fontId="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73"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3" fillId="37" borderId="11" xfId="0" applyFont="1" applyFill="1" applyBorder="1" applyAlignment="1">
      <alignment horizontal="center" vertical="center"/>
    </xf>
    <xf numFmtId="0" fontId="2" fillId="37" borderId="11" xfId="0" applyFont="1" applyFill="1" applyBorder="1" applyAlignment="1">
      <alignment horizontal="center" vertical="center"/>
    </xf>
    <xf numFmtId="0" fontId="2" fillId="37" borderId="11" xfId="0" applyFont="1" applyFill="1" applyBorder="1" applyAlignment="1">
      <alignment horizontal="center"/>
    </xf>
    <xf numFmtId="0" fontId="3" fillId="37" borderId="11" xfId="0" applyFont="1" applyFill="1" applyBorder="1" applyAlignment="1">
      <alignment/>
    </xf>
    <xf numFmtId="0" fontId="3" fillId="37" borderId="11" xfId="0" applyFont="1" applyFill="1" applyBorder="1" applyAlignment="1">
      <alignment horizontal="center"/>
    </xf>
    <xf numFmtId="0" fontId="3" fillId="37" borderId="11" xfId="0" applyFont="1" applyFill="1" applyBorder="1" applyAlignment="1">
      <alignment horizontal="left" vertical="center" wrapText="1"/>
    </xf>
    <xf numFmtId="166" fontId="3" fillId="37" borderId="11" xfId="43" applyNumberFormat="1" applyFont="1" applyFill="1" applyBorder="1" applyAlignment="1">
      <alignment horizontal="right" vertical="center" wrapText="1"/>
    </xf>
    <xf numFmtId="0" fontId="3" fillId="37" borderId="11" xfId="0" applyFont="1" applyFill="1" applyBorder="1" applyAlignment="1" quotePrefix="1">
      <alignment horizontal="center" vertical="center"/>
    </xf>
    <xf numFmtId="0" fontId="2" fillId="37" borderId="11" xfId="64" applyFont="1" applyFill="1" applyBorder="1" applyAlignment="1">
      <alignment horizontal="center" vertical="center"/>
      <protection/>
    </xf>
    <xf numFmtId="2" fontId="2" fillId="37" borderId="11" xfId="64" applyNumberFormat="1" applyFont="1" applyFill="1" applyBorder="1" applyAlignment="1">
      <alignment horizontal="left" vertical="center" wrapText="1"/>
      <protection/>
    </xf>
    <xf numFmtId="0" fontId="3" fillId="37" borderId="11" xfId="64" applyFont="1" applyFill="1" applyBorder="1" applyAlignment="1">
      <alignment horizontal="center" vertical="center"/>
      <protection/>
    </xf>
    <xf numFmtId="2" fontId="3" fillId="37" borderId="11" xfId="64" applyNumberFormat="1" applyFont="1" applyFill="1" applyBorder="1" applyAlignment="1">
      <alignment horizontal="left" vertical="center" wrapText="1"/>
      <protection/>
    </xf>
    <xf numFmtId="2" fontId="3" fillId="37" borderId="11" xfId="64" applyNumberFormat="1" applyFont="1" applyFill="1" applyBorder="1" applyAlignment="1" quotePrefix="1">
      <alignment horizontal="left" vertical="center" wrapText="1"/>
      <protection/>
    </xf>
    <xf numFmtId="0" fontId="3" fillId="37" borderId="0" xfId="0" applyFont="1" applyFill="1" applyBorder="1" applyAlignment="1">
      <alignment horizontal="center"/>
    </xf>
    <xf numFmtId="166" fontId="2" fillId="37" borderId="0" xfId="43" applyNumberFormat="1" applyFont="1" applyFill="1" applyBorder="1" applyAlignment="1">
      <alignment horizontal="center" vertical="center"/>
    </xf>
    <xf numFmtId="0" fontId="2" fillId="37" borderId="0" xfId="0" applyFont="1" applyFill="1" applyBorder="1" applyAlignment="1">
      <alignment horizontal="right"/>
    </xf>
    <xf numFmtId="165" fontId="3" fillId="37" borderId="0" xfId="0" applyNumberFormat="1" applyFont="1" applyFill="1" applyBorder="1" applyAlignment="1">
      <alignment horizontal="center" vertical="center"/>
    </xf>
    <xf numFmtId="0" fontId="3" fillId="37" borderId="0" xfId="0" applyFont="1" applyFill="1" applyBorder="1" applyAlignment="1">
      <alignment horizontal="right"/>
    </xf>
    <xf numFmtId="0" fontId="2" fillId="37" borderId="0" xfId="0" applyFont="1" applyFill="1" applyBorder="1" applyAlignment="1">
      <alignment horizontal="center"/>
    </xf>
    <xf numFmtId="0" fontId="2" fillId="37" borderId="0" xfId="0" applyFont="1" applyFill="1" applyBorder="1" applyAlignment="1">
      <alignment wrapText="1"/>
    </xf>
    <xf numFmtId="1" fontId="2" fillId="37" borderId="0" xfId="0" applyNumberFormat="1" applyFont="1" applyFill="1" applyBorder="1" applyAlignment="1">
      <alignment horizontal="right"/>
    </xf>
    <xf numFmtId="1" fontId="3" fillId="37" borderId="0" xfId="0" applyNumberFormat="1" applyFont="1" applyFill="1" applyBorder="1" applyAlignment="1">
      <alignment horizontal="right"/>
    </xf>
    <xf numFmtId="0" fontId="2" fillId="37" borderId="11"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2" fillId="37" borderId="11" xfId="0" applyFont="1" applyFill="1" applyBorder="1" applyAlignment="1">
      <alignment horizontal="left" vertical="center" wrapText="1"/>
    </xf>
    <xf numFmtId="2" fontId="3" fillId="37" borderId="11" xfId="0" applyNumberFormat="1" applyFont="1" applyFill="1" applyBorder="1" applyAlignment="1">
      <alignment horizontal="left" vertical="center" wrapText="1"/>
    </xf>
    <xf numFmtId="0" fontId="3" fillId="37" borderId="11" xfId="0" applyFont="1" applyFill="1" applyBorder="1" applyAlignment="1" quotePrefix="1">
      <alignment horizontal="left" vertical="center" wrapText="1"/>
    </xf>
    <xf numFmtId="166" fontId="2" fillId="37" borderId="11" xfId="43" applyNumberFormat="1" applyFont="1" applyFill="1" applyBorder="1" applyAlignment="1">
      <alignment horizontal="center" vertical="center" wrapText="1"/>
    </xf>
    <xf numFmtId="4" fontId="2" fillId="37" borderId="11" xfId="0" applyNumberFormat="1" applyFont="1" applyFill="1" applyBorder="1" applyAlignment="1">
      <alignment horizontal="center" vertical="center" wrapText="1"/>
    </xf>
    <xf numFmtId="3" fontId="3" fillId="37" borderId="11" xfId="0" applyNumberFormat="1" applyFont="1" applyFill="1" applyBorder="1" applyAlignment="1">
      <alignment horizontal="center" vertical="center" wrapText="1"/>
    </xf>
    <xf numFmtId="166" fontId="3" fillId="37" borderId="11" xfId="43" applyNumberFormat="1" applyFont="1" applyFill="1" applyBorder="1" applyAlignment="1">
      <alignment horizontal="center" vertical="center" wrapText="1"/>
    </xf>
    <xf numFmtId="4" fontId="3" fillId="37" borderId="11" xfId="0" applyNumberFormat="1" applyFont="1" applyFill="1" applyBorder="1" applyAlignment="1">
      <alignment horizontal="center" vertical="center" wrapText="1"/>
    </xf>
    <xf numFmtId="3" fontId="2" fillId="37" borderId="11" xfId="0" applyNumberFormat="1" applyFont="1" applyFill="1" applyBorder="1" applyAlignment="1">
      <alignment horizontal="right" vertical="center" wrapText="1"/>
    </xf>
    <xf numFmtId="166" fontId="2" fillId="37" borderId="11" xfId="43" applyNumberFormat="1" applyFont="1" applyFill="1" applyBorder="1" applyAlignment="1">
      <alignment horizontal="right" vertical="center" wrapText="1"/>
    </xf>
    <xf numFmtId="4" fontId="2" fillId="37" borderId="11" xfId="0" applyNumberFormat="1" applyFont="1" applyFill="1" applyBorder="1" applyAlignment="1">
      <alignment horizontal="right" vertical="center" wrapText="1"/>
    </xf>
    <xf numFmtId="3" fontId="3" fillId="37" borderId="11" xfId="0" applyNumberFormat="1" applyFont="1" applyFill="1" applyBorder="1" applyAlignment="1">
      <alignment horizontal="right" vertical="center" wrapText="1"/>
    </xf>
    <xf numFmtId="166" fontId="3" fillId="37" borderId="11" xfId="45" applyNumberFormat="1" applyFont="1" applyFill="1" applyBorder="1" applyAlignment="1">
      <alignment horizontal="right" vertical="center" wrapText="1"/>
    </xf>
    <xf numFmtId="4" fontId="3" fillId="37" borderId="11" xfId="0" applyNumberFormat="1" applyFont="1" applyFill="1" applyBorder="1" applyAlignment="1">
      <alignment horizontal="right" vertical="center" wrapText="1"/>
    </xf>
    <xf numFmtId="0" fontId="2" fillId="37" borderId="11" xfId="0" applyFont="1" applyFill="1" applyBorder="1" applyAlignment="1">
      <alignment horizontal="right" vertical="center" wrapText="1"/>
    </xf>
    <xf numFmtId="167" fontId="32" fillId="37" borderId="11" xfId="43" applyNumberFormat="1" applyFont="1" applyFill="1" applyBorder="1" applyAlignment="1">
      <alignment horizontal="right" vertical="center" wrapText="1"/>
    </xf>
    <xf numFmtId="165" fontId="3" fillId="37" borderId="11" xfId="0" applyNumberFormat="1" applyFont="1" applyFill="1" applyBorder="1" applyAlignment="1">
      <alignment horizontal="right" vertical="center" wrapText="1"/>
    </xf>
    <xf numFmtId="167" fontId="3" fillId="37" borderId="11" xfId="45" applyNumberFormat="1" applyFont="1" applyFill="1" applyBorder="1" applyAlignment="1">
      <alignment horizontal="right" vertical="center" wrapText="1" shrinkToFit="1"/>
    </xf>
    <xf numFmtId="0" fontId="3" fillId="37" borderId="11" xfId="0" applyFont="1" applyFill="1" applyBorder="1" applyAlignment="1">
      <alignment horizontal="right" vertical="center" wrapText="1"/>
    </xf>
    <xf numFmtId="167" fontId="3" fillId="37" borderId="11" xfId="43" applyNumberFormat="1" applyFont="1" applyFill="1" applyBorder="1" applyAlignment="1">
      <alignment horizontal="right" vertical="center" wrapText="1"/>
    </xf>
    <xf numFmtId="2" fontId="3" fillId="37" borderId="11" xfId="0" applyNumberFormat="1" applyFont="1" applyFill="1" applyBorder="1" applyAlignment="1">
      <alignment horizontal="right" vertical="center" wrapText="1"/>
    </xf>
    <xf numFmtId="3" fontId="3" fillId="37" borderId="11" xfId="0" applyNumberFormat="1" applyFont="1" applyFill="1" applyBorder="1" applyAlignment="1" quotePrefix="1">
      <alignment horizontal="right" vertical="center" wrapText="1"/>
    </xf>
    <xf numFmtId="166" fontId="3" fillId="37" borderId="11" xfId="43" applyNumberFormat="1" applyFont="1" applyFill="1" applyBorder="1" applyAlignment="1" quotePrefix="1">
      <alignment horizontal="right" vertical="center" wrapText="1"/>
    </xf>
    <xf numFmtId="166" fontId="2" fillId="37" borderId="11" xfId="0" applyNumberFormat="1" applyFont="1" applyFill="1" applyBorder="1" applyAlignment="1">
      <alignment horizontal="right" vertical="center" wrapText="1"/>
    </xf>
    <xf numFmtId="43" fontId="3" fillId="37" borderId="11" xfId="43" applyNumberFormat="1" applyFont="1" applyFill="1" applyBorder="1" applyAlignment="1">
      <alignment horizontal="right" vertical="center" wrapText="1"/>
    </xf>
    <xf numFmtId="165" fontId="2" fillId="37" borderId="11" xfId="0" applyNumberFormat="1" applyFont="1" applyFill="1" applyBorder="1" applyAlignment="1">
      <alignment horizontal="right" vertical="center" wrapText="1"/>
    </xf>
    <xf numFmtId="167" fontId="3" fillId="37" borderId="11" xfId="0" applyNumberFormat="1" applyFont="1" applyFill="1" applyBorder="1" applyAlignment="1">
      <alignment horizontal="right" vertical="center" wrapText="1"/>
    </xf>
    <xf numFmtId="0" fontId="90" fillId="0" borderId="20" xfId="0" applyFont="1" applyFill="1" applyBorder="1" applyAlignment="1">
      <alignment vertical="center" wrapText="1"/>
    </xf>
    <xf numFmtId="0" fontId="90" fillId="0" borderId="21" xfId="0" applyFont="1" applyFill="1" applyBorder="1" applyAlignment="1">
      <alignment vertical="center" wrapText="1"/>
    </xf>
    <xf numFmtId="0" fontId="90" fillId="0" borderId="11" xfId="0" applyFont="1" applyFill="1" applyBorder="1" applyAlignment="1">
      <alignment horizontal="center" vertical="center"/>
    </xf>
    <xf numFmtId="0" fontId="90" fillId="36" borderId="11" xfId="0" applyFont="1" applyFill="1" applyBorder="1" applyAlignment="1">
      <alignment horizontal="center" vertical="center" wrapText="1"/>
    </xf>
    <xf numFmtId="0" fontId="90" fillId="0" borderId="11" xfId="75" applyFont="1" applyFill="1" applyBorder="1" applyAlignment="1">
      <alignment horizontal="center" vertical="center"/>
      <protection/>
    </xf>
    <xf numFmtId="49" fontId="90" fillId="0" borderId="11" xfId="75" applyNumberFormat="1" applyFont="1" applyFill="1" applyBorder="1" applyAlignment="1">
      <alignment vertical="center" wrapText="1"/>
      <protection/>
    </xf>
    <xf numFmtId="166" fontId="90" fillId="0" borderId="11" xfId="45" applyNumberFormat="1" applyFont="1" applyFill="1" applyBorder="1" applyAlignment="1">
      <alignment horizontal="right" vertical="center" wrapText="1"/>
    </xf>
    <xf numFmtId="43" fontId="90" fillId="0" borderId="11" xfId="72" applyNumberFormat="1" applyFont="1" applyFill="1" applyBorder="1" applyAlignment="1">
      <alignment horizontal="right" vertical="center"/>
      <protection/>
    </xf>
    <xf numFmtId="49" fontId="90" fillId="0" borderId="11" xfId="75" applyNumberFormat="1" applyFont="1" applyFill="1" applyBorder="1" applyAlignment="1" quotePrefix="1">
      <alignment vertical="center" wrapText="1"/>
      <protection/>
    </xf>
    <xf numFmtId="167" fontId="90" fillId="0" borderId="11" xfId="45" applyNumberFormat="1" applyFont="1" applyBorder="1" applyAlignment="1">
      <alignment horizontal="right" vertical="center"/>
    </xf>
    <xf numFmtId="166" fontId="90" fillId="0" borderId="11" xfId="45" applyNumberFormat="1" applyFont="1" applyFill="1" applyBorder="1" applyAlignment="1">
      <alignment horizontal="right" vertical="center"/>
    </xf>
    <xf numFmtId="167" fontId="90" fillId="0" borderId="11" xfId="72" applyNumberFormat="1" applyFont="1" applyFill="1" applyBorder="1" applyAlignment="1">
      <alignment horizontal="right" vertical="center"/>
      <protection/>
    </xf>
    <xf numFmtId="166" fontId="90" fillId="0" borderId="11" xfId="45" applyNumberFormat="1" applyFont="1" applyBorder="1" applyAlignment="1">
      <alignment horizontal="right" vertical="center"/>
    </xf>
    <xf numFmtId="166" fontId="90" fillId="36" borderId="11" xfId="45" applyNumberFormat="1" applyFont="1" applyFill="1" applyBorder="1" applyAlignment="1">
      <alignment horizontal="right" vertical="center" wrapText="1"/>
    </xf>
    <xf numFmtId="166" fontId="90" fillId="0" borderId="11" xfId="45" applyNumberFormat="1" applyFont="1" applyBorder="1" applyAlignment="1">
      <alignment horizontal="right" vertical="center" wrapText="1"/>
    </xf>
    <xf numFmtId="0" fontId="91" fillId="0" borderId="11" xfId="75" applyFont="1" applyFill="1" applyBorder="1" applyAlignment="1">
      <alignment horizontal="center" vertical="center"/>
      <protection/>
    </xf>
    <xf numFmtId="49" fontId="91" fillId="0" borderId="11" xfId="75" applyNumberFormat="1" applyFont="1" applyFill="1" applyBorder="1" applyAlignment="1" quotePrefix="1">
      <alignment vertical="center" wrapText="1"/>
      <protection/>
    </xf>
    <xf numFmtId="166" fontId="91" fillId="0" borderId="11" xfId="45" applyNumberFormat="1" applyFont="1" applyBorder="1" applyAlignment="1">
      <alignment horizontal="right" vertical="center"/>
    </xf>
    <xf numFmtId="166" fontId="91" fillId="36" borderId="11" xfId="45" applyNumberFormat="1" applyFont="1" applyFill="1" applyBorder="1" applyAlignment="1">
      <alignment horizontal="right" vertical="center" wrapText="1"/>
    </xf>
    <xf numFmtId="166" fontId="91" fillId="0" borderId="11" xfId="45" applyNumberFormat="1" applyFont="1" applyFill="1" applyBorder="1" applyAlignment="1">
      <alignment horizontal="right" vertical="center" wrapText="1"/>
    </xf>
    <xf numFmtId="43" fontId="91" fillId="0" borderId="11" xfId="72" applyNumberFormat="1" applyFont="1" applyFill="1" applyBorder="1" applyAlignment="1">
      <alignment horizontal="right" vertical="center"/>
      <protection/>
    </xf>
    <xf numFmtId="0" fontId="90" fillId="0" borderId="11" xfId="75" applyFont="1" applyFill="1" applyBorder="1" applyAlignment="1">
      <alignment horizontal="right" vertical="center"/>
      <protection/>
    </xf>
    <xf numFmtId="0" fontId="90" fillId="36" borderId="11" xfId="75" applyFont="1" applyFill="1" applyBorder="1" applyAlignment="1">
      <alignment horizontal="right" vertical="center" wrapText="1"/>
      <protection/>
    </xf>
    <xf numFmtId="0" fontId="90" fillId="0" borderId="11" xfId="75" applyFont="1" applyFill="1" applyBorder="1" applyAlignment="1">
      <alignment horizontal="right" vertical="center" wrapText="1"/>
      <protection/>
    </xf>
    <xf numFmtId="0" fontId="91" fillId="0" borderId="11" xfId="75" applyFont="1" applyFill="1" applyBorder="1" applyAlignment="1">
      <alignment horizontal="right" vertical="center"/>
      <protection/>
    </xf>
    <xf numFmtId="0" fontId="91" fillId="36" borderId="11" xfId="75" applyFont="1" applyFill="1" applyBorder="1" applyAlignment="1">
      <alignment horizontal="right" vertical="center" wrapText="1"/>
      <protection/>
    </xf>
    <xf numFmtId="167" fontId="91" fillId="0" borderId="11" xfId="72" applyNumberFormat="1" applyFont="1" applyFill="1" applyBorder="1" applyAlignment="1">
      <alignment horizontal="right" vertical="center"/>
      <protection/>
    </xf>
    <xf numFmtId="166" fontId="90" fillId="36" borderId="11" xfId="45" applyNumberFormat="1" applyFont="1" applyFill="1" applyBorder="1" applyAlignment="1">
      <alignment horizontal="right" vertical="center"/>
    </xf>
    <xf numFmtId="168" fontId="91" fillId="36" borderId="11" xfId="75" applyNumberFormat="1" applyFont="1" applyFill="1" applyBorder="1" applyAlignment="1">
      <alignment horizontal="right" vertical="center" wrapText="1"/>
      <protection/>
    </xf>
    <xf numFmtId="167" fontId="91" fillId="36" borderId="11" xfId="45" applyNumberFormat="1" applyFont="1" applyFill="1" applyBorder="1" applyAlignment="1">
      <alignment horizontal="right" vertical="center" wrapText="1"/>
    </xf>
    <xf numFmtId="166" fontId="90" fillId="0" borderId="11" xfId="72" applyNumberFormat="1" applyFont="1" applyFill="1" applyBorder="1" applyAlignment="1">
      <alignment horizontal="right" vertical="center"/>
      <protection/>
    </xf>
    <xf numFmtId="168" fontId="91" fillId="0" borderId="11" xfId="75" applyNumberFormat="1" applyFont="1" applyFill="1" applyBorder="1" applyAlignment="1">
      <alignment horizontal="right" vertical="center"/>
      <protection/>
    </xf>
    <xf numFmtId="165" fontId="91" fillId="36" borderId="11" xfId="75" applyNumberFormat="1" applyFont="1" applyFill="1" applyBorder="1" applyAlignment="1">
      <alignment horizontal="right" vertical="center" wrapText="1"/>
      <protection/>
    </xf>
    <xf numFmtId="174" fontId="91" fillId="36" borderId="11" xfId="45" applyNumberFormat="1" applyFont="1" applyFill="1" applyBorder="1" applyAlignment="1">
      <alignment horizontal="right" vertical="center" wrapText="1"/>
    </xf>
    <xf numFmtId="165" fontId="91" fillId="36" borderId="11" xfId="45" applyNumberFormat="1" applyFont="1" applyFill="1" applyBorder="1" applyAlignment="1">
      <alignment horizontal="right" vertical="center" wrapText="1"/>
    </xf>
    <xf numFmtId="166" fontId="91" fillId="0" borderId="11" xfId="72" applyNumberFormat="1" applyFont="1" applyFill="1" applyBorder="1" applyAlignment="1">
      <alignment horizontal="right" vertical="center"/>
      <protection/>
    </xf>
    <xf numFmtId="1" fontId="91" fillId="0" borderId="11" xfId="75" applyNumberFormat="1" applyFont="1" applyFill="1" applyBorder="1" applyAlignment="1">
      <alignment horizontal="right" vertical="center"/>
      <protection/>
    </xf>
    <xf numFmtId="49" fontId="91" fillId="0" borderId="11" xfId="75" applyNumberFormat="1" applyFont="1" applyFill="1" applyBorder="1" applyAlignment="1" quotePrefix="1">
      <alignment horizontal="left" vertical="center" wrapText="1"/>
      <protection/>
    </xf>
    <xf numFmtId="167" fontId="91" fillId="36" borderId="11" xfId="75" applyNumberFormat="1" applyFont="1" applyFill="1" applyBorder="1" applyAlignment="1">
      <alignment horizontal="right" vertical="center" wrapText="1"/>
      <protection/>
    </xf>
    <xf numFmtId="166" fontId="91" fillId="36" borderId="11" xfId="45" applyNumberFormat="1" applyFont="1" applyFill="1" applyBorder="1" applyAlignment="1">
      <alignment horizontal="right" vertical="center"/>
    </xf>
    <xf numFmtId="166" fontId="91" fillId="37" borderId="11" xfId="45" applyNumberFormat="1" applyFont="1" applyFill="1" applyBorder="1" applyAlignment="1">
      <alignment horizontal="right" vertical="center"/>
    </xf>
    <xf numFmtId="166" fontId="91" fillId="0" borderId="11" xfId="45" applyNumberFormat="1" applyFont="1" applyFill="1" applyBorder="1" applyAlignment="1">
      <alignment horizontal="right" vertical="center"/>
    </xf>
    <xf numFmtId="166" fontId="90" fillId="37" borderId="11" xfId="45" applyNumberFormat="1" applyFont="1" applyFill="1" applyBorder="1" applyAlignment="1">
      <alignment horizontal="right" vertical="center"/>
    </xf>
    <xf numFmtId="167" fontId="91" fillId="0" borderId="11" xfId="45" applyNumberFormat="1" applyFont="1" applyFill="1" applyBorder="1" applyAlignment="1">
      <alignment horizontal="right" vertical="center"/>
    </xf>
    <xf numFmtId="167" fontId="92" fillId="0" borderId="11" xfId="45" applyNumberFormat="1" applyFont="1" applyFill="1" applyBorder="1" applyAlignment="1">
      <alignment horizontal="right" vertical="center"/>
    </xf>
    <xf numFmtId="0" fontId="90" fillId="36" borderId="11" xfId="75" applyFont="1" applyFill="1" applyBorder="1" applyAlignment="1">
      <alignment horizontal="center" vertical="center"/>
      <protection/>
    </xf>
    <xf numFmtId="49" fontId="90" fillId="36" borderId="11" xfId="75" applyNumberFormat="1" applyFont="1" applyFill="1" applyBorder="1" applyAlignment="1">
      <alignment vertical="center" wrapText="1"/>
      <protection/>
    </xf>
    <xf numFmtId="0" fontId="91" fillId="36" borderId="11" xfId="75" applyFont="1" applyFill="1" applyBorder="1" applyAlignment="1">
      <alignment horizontal="center" vertical="center"/>
      <protection/>
    </xf>
    <xf numFmtId="49" fontId="91" fillId="36" borderId="11" xfId="75" applyNumberFormat="1" applyFont="1" applyFill="1" applyBorder="1" applyAlignment="1" quotePrefix="1">
      <alignment vertical="center" wrapText="1"/>
      <protection/>
    </xf>
    <xf numFmtId="43" fontId="91" fillId="0" borderId="11" xfId="45" applyNumberFormat="1" applyFont="1" applyFill="1" applyBorder="1" applyAlignment="1">
      <alignment horizontal="right" vertical="center"/>
    </xf>
    <xf numFmtId="167" fontId="91" fillId="0" borderId="11" xfId="45" applyNumberFormat="1" applyFont="1" applyFill="1" applyBorder="1" applyAlignment="1">
      <alignment horizontal="right" vertical="center" wrapText="1"/>
    </xf>
    <xf numFmtId="49" fontId="91" fillId="0" borderId="11" xfId="75" applyNumberFormat="1" applyFont="1" applyFill="1" applyBorder="1" applyAlignment="1">
      <alignment vertical="center" wrapText="1"/>
      <protection/>
    </xf>
    <xf numFmtId="167" fontId="91" fillId="36" borderId="11" xfId="45" applyNumberFormat="1" applyFont="1" applyFill="1" applyBorder="1" applyAlignment="1">
      <alignment horizontal="right" vertical="center"/>
    </xf>
    <xf numFmtId="49" fontId="91" fillId="36" borderId="11" xfId="75" applyNumberFormat="1" applyFont="1" applyFill="1" applyBorder="1" applyAlignment="1">
      <alignment vertical="center" wrapText="1"/>
      <protection/>
    </xf>
    <xf numFmtId="0" fontId="90" fillId="0" borderId="11" xfId="75" applyFont="1" applyFill="1" applyBorder="1" applyAlignment="1">
      <alignment horizontal="center" vertical="center" wrapText="1"/>
      <protection/>
    </xf>
    <xf numFmtId="49" fontId="91" fillId="0" borderId="11" xfId="75" applyNumberFormat="1" applyFont="1" applyFill="1" applyBorder="1" applyAlignment="1">
      <alignment horizontal="left" vertical="center" wrapText="1"/>
      <protection/>
    </xf>
    <xf numFmtId="0" fontId="91" fillId="0" borderId="11" xfId="75" applyFont="1" applyFill="1" applyBorder="1" applyAlignment="1">
      <alignment horizontal="center" vertical="center" wrapText="1"/>
      <protection/>
    </xf>
    <xf numFmtId="49" fontId="91" fillId="0" borderId="11" xfId="75" applyNumberFormat="1" applyFont="1" applyFill="1" applyBorder="1" applyAlignment="1">
      <alignment horizontal="center" vertical="center" wrapText="1"/>
      <protection/>
    </xf>
    <xf numFmtId="0" fontId="91" fillId="36" borderId="11" xfId="75" applyFont="1" applyFill="1" applyBorder="1" applyAlignment="1">
      <alignment vertical="center"/>
      <protection/>
    </xf>
    <xf numFmtId="0" fontId="91" fillId="36" borderId="11" xfId="75" applyFont="1" applyFill="1" applyBorder="1" applyAlignment="1">
      <alignment horizontal="right" vertical="center"/>
      <protection/>
    </xf>
    <xf numFmtId="49" fontId="91" fillId="36" borderId="11" xfId="75" applyNumberFormat="1" applyFont="1" applyFill="1" applyBorder="1" applyAlignment="1">
      <alignment horizontal="left" vertical="center" wrapText="1"/>
      <protection/>
    </xf>
    <xf numFmtId="1" fontId="91" fillId="0" borderId="11" xfId="45" applyNumberFormat="1" applyFont="1" applyFill="1" applyBorder="1" applyAlignment="1">
      <alignment horizontal="right" vertical="center"/>
    </xf>
    <xf numFmtId="1" fontId="91" fillId="36" borderId="11" xfId="45" applyNumberFormat="1" applyFont="1" applyFill="1" applyBorder="1" applyAlignment="1">
      <alignment horizontal="right" vertical="center"/>
    </xf>
    <xf numFmtId="0" fontId="9" fillId="37" borderId="11" xfId="76" applyFont="1" applyFill="1" applyBorder="1" applyAlignment="1">
      <alignment horizontal="center" vertical="center" wrapText="1"/>
      <protection/>
    </xf>
    <xf numFmtId="0" fontId="8" fillId="37" borderId="11" xfId="76" applyFont="1" applyFill="1" applyBorder="1" applyAlignment="1">
      <alignment horizontal="center" vertical="center" wrapText="1"/>
      <protection/>
    </xf>
    <xf numFmtId="0" fontId="8" fillId="0" borderId="11" xfId="76" applyFont="1" applyFill="1" applyBorder="1" applyAlignment="1">
      <alignment horizontal="left" vertical="center" wrapText="1"/>
      <protection/>
    </xf>
    <xf numFmtId="0" fontId="9" fillId="37" borderId="11" xfId="76" applyFont="1" applyFill="1" applyBorder="1" applyAlignment="1">
      <alignment horizontal="left" vertical="center" wrapText="1"/>
      <protection/>
    </xf>
    <xf numFmtId="0" fontId="15" fillId="0" borderId="11" xfId="76" applyFont="1" applyFill="1" applyBorder="1" applyAlignment="1">
      <alignment horizontal="left" vertical="center" wrapText="1"/>
      <protection/>
    </xf>
    <xf numFmtId="0" fontId="9" fillId="0" borderId="11" xfId="76" applyFont="1" applyFill="1" applyBorder="1" applyAlignment="1" quotePrefix="1">
      <alignment horizontal="left" vertical="center" wrapText="1"/>
      <protection/>
    </xf>
    <xf numFmtId="0" fontId="9" fillId="0" borderId="11" xfId="74" applyFont="1" applyFill="1" applyBorder="1" applyAlignment="1">
      <alignment horizontal="center" vertical="center" wrapText="1"/>
      <protection/>
    </xf>
    <xf numFmtId="168" fontId="9" fillId="0" borderId="11" xfId="76" applyNumberFormat="1" applyFont="1" applyFill="1" applyBorder="1" applyAlignment="1">
      <alignment horizontal="right" vertical="center" wrapText="1"/>
      <protection/>
    </xf>
    <xf numFmtId="1" fontId="9" fillId="36" borderId="11" xfId="76" applyNumberFormat="1" applyFont="1" applyFill="1" applyBorder="1" applyAlignment="1">
      <alignment horizontal="right" vertical="center" wrapText="1"/>
      <protection/>
    </xf>
    <xf numFmtId="165" fontId="9" fillId="0" borderId="11" xfId="0" applyNumberFormat="1" applyFont="1" applyBorder="1" applyAlignment="1">
      <alignment horizontal="right" vertical="center" wrapText="1"/>
    </xf>
    <xf numFmtId="0" fontId="9" fillId="0" borderId="11" xfId="76" applyFont="1" applyFill="1" applyBorder="1" applyAlignment="1">
      <alignment horizontal="right" vertical="center" wrapText="1"/>
      <protection/>
    </xf>
    <xf numFmtId="0" fontId="9" fillId="36" borderId="11" xfId="76" applyFont="1" applyFill="1" applyBorder="1" applyAlignment="1">
      <alignment horizontal="right" vertical="center" wrapText="1"/>
      <protection/>
    </xf>
    <xf numFmtId="3" fontId="9" fillId="0" borderId="11"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0" fontId="9" fillId="37" borderId="11" xfId="76" applyFont="1" applyFill="1" applyBorder="1" applyAlignment="1">
      <alignment horizontal="right" vertical="center" wrapText="1"/>
      <protection/>
    </xf>
    <xf numFmtId="0" fontId="9" fillId="36" borderId="11" xfId="74" applyFont="1" applyFill="1" applyBorder="1" applyAlignment="1">
      <alignment horizontal="right" vertical="center" wrapText="1"/>
      <protection/>
    </xf>
    <xf numFmtId="166" fontId="9" fillId="36" borderId="11" xfId="43" applyNumberFormat="1" applyFont="1" applyFill="1" applyBorder="1" applyAlignment="1">
      <alignment horizontal="right" vertical="center" wrapText="1"/>
    </xf>
    <xf numFmtId="0" fontId="8" fillId="0" borderId="11" xfId="76" applyFont="1" applyFill="1" applyBorder="1" applyAlignment="1">
      <alignment horizontal="right" vertical="center" wrapText="1"/>
      <protection/>
    </xf>
    <xf numFmtId="0" fontId="8" fillId="36" borderId="11" xfId="76" applyFont="1" applyFill="1" applyBorder="1" applyAlignment="1">
      <alignment horizontal="right" vertical="center" wrapText="1"/>
      <protection/>
    </xf>
    <xf numFmtId="4" fontId="8" fillId="0" borderId="11" xfId="0" applyNumberFormat="1" applyFont="1" applyBorder="1" applyAlignment="1">
      <alignment horizontal="right" vertical="center" wrapText="1"/>
    </xf>
    <xf numFmtId="0" fontId="9" fillId="0" borderId="11" xfId="74" applyFont="1" applyFill="1" applyBorder="1" applyAlignment="1">
      <alignment horizontal="right" vertical="center" wrapText="1"/>
      <protection/>
    </xf>
    <xf numFmtId="0" fontId="8" fillId="0" borderId="11" xfId="74" applyFont="1" applyFill="1" applyBorder="1" applyAlignment="1">
      <alignment horizontal="right" vertical="center" wrapText="1"/>
      <protection/>
    </xf>
    <xf numFmtId="2" fontId="9" fillId="36" borderId="11" xfId="74" applyNumberFormat="1" applyFont="1" applyFill="1" applyBorder="1" applyAlignment="1">
      <alignment horizontal="right" vertical="center" wrapText="1"/>
      <protection/>
    </xf>
    <xf numFmtId="0" fontId="8" fillId="0" borderId="11" xfId="73" applyFont="1" applyFill="1" applyBorder="1" applyAlignment="1">
      <alignment horizontal="right" vertical="center" wrapText="1"/>
      <protection/>
    </xf>
    <xf numFmtId="0" fontId="8" fillId="36" borderId="11" xfId="73" applyFont="1" applyFill="1" applyBorder="1" applyAlignment="1">
      <alignment horizontal="right" vertical="center" wrapText="1"/>
      <protection/>
    </xf>
    <xf numFmtId="168" fontId="9" fillId="37" borderId="11" xfId="76" applyNumberFormat="1" applyFont="1" applyFill="1" applyBorder="1" applyAlignment="1">
      <alignment horizontal="right" vertical="center" wrapText="1"/>
      <protection/>
    </xf>
    <xf numFmtId="2" fontId="9" fillId="37" borderId="11" xfId="76" applyNumberFormat="1" applyFont="1" applyFill="1" applyBorder="1" applyAlignment="1">
      <alignment horizontal="right" vertical="center" wrapText="1"/>
      <protection/>
    </xf>
    <xf numFmtId="4" fontId="9" fillId="37" borderId="11" xfId="0" applyNumberFormat="1" applyFont="1" applyFill="1" applyBorder="1" applyAlignment="1">
      <alignment horizontal="right" vertical="center" wrapText="1"/>
    </xf>
    <xf numFmtId="1" fontId="9" fillId="37" borderId="11" xfId="76" applyNumberFormat="1" applyFont="1" applyFill="1" applyBorder="1" applyAlignment="1">
      <alignment horizontal="right" vertical="center" wrapText="1"/>
      <protection/>
    </xf>
    <xf numFmtId="0" fontId="9" fillId="37" borderId="11" xfId="74" applyFont="1" applyFill="1" applyBorder="1" applyAlignment="1">
      <alignment horizontal="right" vertical="center" wrapText="1"/>
      <protection/>
    </xf>
    <xf numFmtId="165" fontId="9" fillId="37" borderId="11" xfId="0" applyNumberFormat="1" applyFont="1" applyFill="1" applyBorder="1" applyAlignment="1">
      <alignment horizontal="right" vertical="center" wrapText="1"/>
    </xf>
    <xf numFmtId="1" fontId="9" fillId="0" borderId="11" xfId="74" applyNumberFormat="1" applyFont="1" applyFill="1" applyBorder="1" applyAlignment="1">
      <alignment horizontal="right" vertical="center" wrapText="1"/>
      <protection/>
    </xf>
    <xf numFmtId="168" fontId="9" fillId="36" borderId="11" xfId="74" applyNumberFormat="1" applyFont="1" applyFill="1" applyBorder="1" applyAlignment="1">
      <alignment horizontal="right" vertical="center" wrapText="1"/>
      <protection/>
    </xf>
    <xf numFmtId="3" fontId="8" fillId="36" borderId="11" xfId="74" applyNumberFormat="1" applyFont="1" applyFill="1" applyBorder="1" applyAlignment="1">
      <alignment horizontal="right" vertical="center" wrapText="1"/>
      <protection/>
    </xf>
    <xf numFmtId="4" fontId="9" fillId="0" borderId="11" xfId="0" applyNumberFormat="1" applyFont="1" applyFill="1" applyBorder="1" applyAlignment="1">
      <alignment horizontal="right" vertical="center" wrapText="1"/>
    </xf>
    <xf numFmtId="4" fontId="9" fillId="0" borderId="11" xfId="74" applyNumberFormat="1" applyFont="1" applyFill="1" applyBorder="1" applyAlignment="1">
      <alignment horizontal="right" vertical="center" wrapText="1"/>
      <protection/>
    </xf>
    <xf numFmtId="165" fontId="9" fillId="37" borderId="11" xfId="74" applyNumberFormat="1" applyFont="1" applyFill="1" applyBorder="1" applyAlignment="1">
      <alignment horizontal="right" vertical="center" wrapText="1"/>
      <protection/>
    </xf>
    <xf numFmtId="4" fontId="9" fillId="37" borderId="11" xfId="74" applyNumberFormat="1" applyFont="1" applyFill="1" applyBorder="1" applyAlignment="1" quotePrefix="1">
      <alignment horizontal="right" vertical="center" wrapText="1"/>
      <protection/>
    </xf>
    <xf numFmtId="165" fontId="9" fillId="37" borderId="11" xfId="74" applyNumberFormat="1" applyFont="1" applyFill="1" applyBorder="1" applyAlignment="1" quotePrefix="1">
      <alignment horizontal="right" vertical="center" wrapText="1"/>
      <protection/>
    </xf>
    <xf numFmtId="4" fontId="9" fillId="36" borderId="11" xfId="76" applyNumberFormat="1" applyFont="1" applyFill="1" applyBorder="1" applyAlignment="1">
      <alignment horizontal="right" vertical="center" wrapText="1"/>
      <protection/>
    </xf>
    <xf numFmtId="3" fontId="9" fillId="36" borderId="11" xfId="76" applyNumberFormat="1" applyFont="1" applyFill="1" applyBorder="1" applyAlignment="1">
      <alignment horizontal="right" vertical="center" wrapText="1"/>
      <protection/>
    </xf>
    <xf numFmtId="166" fontId="9" fillId="36" borderId="11" xfId="76" applyNumberFormat="1" applyFont="1" applyFill="1" applyBorder="1" applyAlignment="1">
      <alignment horizontal="right" vertical="center" wrapText="1"/>
      <protection/>
    </xf>
    <xf numFmtId="3" fontId="9" fillId="36" borderId="11" xfId="74" applyNumberFormat="1" applyFont="1" applyFill="1" applyBorder="1" applyAlignment="1">
      <alignment horizontal="right" vertical="center" wrapText="1"/>
      <protection/>
    </xf>
    <xf numFmtId="4" fontId="9" fillId="36" borderId="11" xfId="74" applyNumberFormat="1" applyFont="1" applyFill="1" applyBorder="1" applyAlignment="1">
      <alignment horizontal="right" vertical="center" wrapText="1"/>
      <protection/>
    </xf>
    <xf numFmtId="3" fontId="9" fillId="36" borderId="11" xfId="71" applyNumberFormat="1" applyFont="1" applyFill="1" applyBorder="1" applyAlignment="1">
      <alignment horizontal="right" vertical="center" wrapText="1"/>
      <protection/>
    </xf>
    <xf numFmtId="3" fontId="8" fillId="36" borderId="11" xfId="71" applyNumberFormat="1" applyFont="1" applyFill="1" applyBorder="1" applyAlignment="1">
      <alignment horizontal="right" vertical="center" wrapText="1"/>
      <protection/>
    </xf>
    <xf numFmtId="3" fontId="9" fillId="0" borderId="11" xfId="74" applyNumberFormat="1" applyFont="1" applyFill="1" applyBorder="1" applyAlignment="1">
      <alignment horizontal="right" vertical="center" wrapText="1"/>
      <protection/>
    </xf>
    <xf numFmtId="4" fontId="9" fillId="36" borderId="11" xfId="71" applyNumberFormat="1" applyFont="1" applyFill="1" applyBorder="1" applyAlignment="1">
      <alignment horizontal="right" vertical="center" wrapText="1"/>
      <protection/>
    </xf>
    <xf numFmtId="4" fontId="9" fillId="36" borderId="11" xfId="80" applyNumberFormat="1" applyFont="1" applyFill="1" applyBorder="1" applyAlignment="1">
      <alignment horizontal="right" vertical="center" wrapText="1"/>
    </xf>
    <xf numFmtId="165" fontId="9" fillId="0" borderId="11" xfId="76" applyNumberFormat="1" applyFont="1" applyFill="1" applyBorder="1" applyAlignment="1">
      <alignment horizontal="right" vertical="center" wrapText="1"/>
      <protection/>
    </xf>
    <xf numFmtId="165" fontId="9" fillId="36" borderId="11" xfId="76" applyNumberFormat="1" applyFont="1" applyFill="1" applyBorder="1" applyAlignment="1">
      <alignment horizontal="right" vertical="center" wrapText="1"/>
      <protection/>
    </xf>
    <xf numFmtId="166" fontId="8" fillId="0" borderId="11" xfId="43" applyNumberFormat="1" applyFont="1" applyFill="1" applyBorder="1" applyAlignment="1">
      <alignment horizontal="right" vertical="center" wrapText="1"/>
    </xf>
    <xf numFmtId="166" fontId="8" fillId="36" borderId="11" xfId="43" applyNumberFormat="1" applyFont="1" applyFill="1" applyBorder="1" applyAlignment="1">
      <alignment horizontal="right" vertical="center" wrapText="1"/>
    </xf>
    <xf numFmtId="4" fontId="8" fillId="0" borderId="11" xfId="76" applyNumberFormat="1" applyFont="1" applyFill="1" applyBorder="1" applyAlignment="1">
      <alignment horizontal="right" vertical="center" wrapText="1"/>
      <protection/>
    </xf>
    <xf numFmtId="0" fontId="8" fillId="36" borderId="11" xfId="74" applyFont="1" applyFill="1" applyBorder="1" applyAlignment="1">
      <alignment horizontal="right" vertical="center" wrapText="1"/>
      <protection/>
    </xf>
    <xf numFmtId="165" fontId="8" fillId="0" borderId="11" xfId="0" applyNumberFormat="1" applyFont="1" applyBorder="1" applyAlignment="1">
      <alignment horizontal="right" vertical="center" wrapText="1"/>
    </xf>
    <xf numFmtId="0" fontId="16" fillId="0" borderId="11" xfId="76" applyFont="1" applyFill="1" applyBorder="1" applyAlignment="1">
      <alignment horizontal="center" vertical="center" wrapText="1"/>
      <protection/>
    </xf>
    <xf numFmtId="0" fontId="16" fillId="0" borderId="11" xfId="76" applyFont="1" applyFill="1" applyBorder="1" applyAlignment="1">
      <alignment horizontal="left" vertical="center" wrapText="1"/>
      <protection/>
    </xf>
    <xf numFmtId="0" fontId="9" fillId="0" borderId="11" xfId="70" applyFont="1" applyFill="1" applyBorder="1" applyAlignment="1">
      <alignment vertical="center" wrapText="1"/>
      <protection/>
    </xf>
    <xf numFmtId="0" fontId="9" fillId="0" borderId="11" xfId="0" applyFont="1" applyBorder="1" applyAlignment="1">
      <alignment horizontal="center" vertical="center"/>
    </xf>
    <xf numFmtId="0" fontId="8" fillId="0" borderId="11" xfId="70" applyFont="1" applyFill="1" applyBorder="1" applyAlignment="1">
      <alignment vertical="center" wrapText="1"/>
      <protection/>
    </xf>
    <xf numFmtId="166" fontId="28" fillId="0" borderId="11" xfId="48" applyNumberFormat="1" applyFont="1" applyFill="1" applyBorder="1" applyAlignment="1">
      <alignment horizontal="center" vertical="center" wrapText="1"/>
    </xf>
    <xf numFmtId="168" fontId="8" fillId="0" borderId="11" xfId="75" applyNumberFormat="1" applyFont="1" applyFill="1" applyBorder="1" applyAlignment="1">
      <alignment horizontal="center" vertical="center" wrapText="1"/>
      <protection/>
    </xf>
    <xf numFmtId="0" fontId="49" fillId="0" borderId="0" xfId="0" applyFont="1" applyBorder="1" applyAlignment="1">
      <alignment/>
    </xf>
    <xf numFmtId="0" fontId="8" fillId="37" borderId="11" xfId="0" applyFont="1" applyFill="1" applyBorder="1" applyAlignment="1">
      <alignment horizontal="center" vertical="center" wrapText="1"/>
    </xf>
    <xf numFmtId="0" fontId="32" fillId="36" borderId="22" xfId="0" applyFont="1" applyFill="1" applyBorder="1" applyAlignment="1">
      <alignment horizontal="center" vertical="center" wrapText="1"/>
    </xf>
    <xf numFmtId="0" fontId="32" fillId="36" borderId="20" xfId="0" applyFont="1" applyFill="1" applyBorder="1" applyAlignment="1">
      <alignment horizontal="center" vertical="center" wrapText="1"/>
    </xf>
    <xf numFmtId="0" fontId="32" fillId="36" borderId="21" xfId="0" applyFont="1" applyFill="1" applyBorder="1" applyAlignment="1">
      <alignment horizontal="center" vertical="center" wrapText="1"/>
    </xf>
    <xf numFmtId="0" fontId="35" fillId="36" borderId="19" xfId="0" applyFont="1" applyFill="1" applyBorder="1" applyAlignment="1">
      <alignment horizontal="center" vertical="center" wrapText="1"/>
    </xf>
    <xf numFmtId="0" fontId="35" fillId="36" borderId="23" xfId="0" applyFont="1" applyFill="1" applyBorder="1" applyAlignment="1">
      <alignment horizontal="center" vertical="center" wrapText="1"/>
    </xf>
    <xf numFmtId="0" fontId="32" fillId="36" borderId="19" xfId="0" applyFont="1" applyFill="1" applyBorder="1" applyAlignment="1">
      <alignment horizontal="center" vertical="center"/>
    </xf>
    <xf numFmtId="0" fontId="32" fillId="36" borderId="24" xfId="0" applyFont="1" applyFill="1" applyBorder="1" applyAlignment="1">
      <alignment horizontal="center" vertical="center"/>
    </xf>
    <xf numFmtId="0" fontId="25" fillId="0" borderId="0" xfId="0" applyFont="1" applyFill="1" applyAlignment="1">
      <alignment horizontal="center"/>
    </xf>
    <xf numFmtId="0" fontId="25" fillId="0" borderId="0" xfId="0" applyFont="1" applyFill="1" applyAlignment="1">
      <alignment horizontal="center"/>
    </xf>
    <xf numFmtId="0" fontId="2" fillId="0" borderId="0" xfId="0" applyFont="1" applyFill="1" applyAlignment="1">
      <alignment horizontal="left"/>
    </xf>
    <xf numFmtId="0" fontId="34" fillId="0" borderId="0" xfId="0" applyFont="1" applyAlignment="1">
      <alignment horizontal="center" vertical="center" wrapText="1"/>
    </xf>
    <xf numFmtId="0" fontId="45" fillId="0" borderId="0" xfId="0" applyFont="1" applyAlignment="1">
      <alignment/>
    </xf>
    <xf numFmtId="0" fontId="7" fillId="0" borderId="0" xfId="0" applyFont="1" applyAlignment="1">
      <alignment horizontal="center" vertical="center" wrapText="1"/>
    </xf>
    <xf numFmtId="0" fontId="6" fillId="0" borderId="0" xfId="0" applyFont="1" applyAlignment="1">
      <alignment horizontal="center" vertical="center" wrapText="1"/>
    </xf>
    <xf numFmtId="0" fontId="32" fillId="36" borderId="19" xfId="0" applyFont="1" applyFill="1" applyBorder="1" applyAlignment="1">
      <alignment horizontal="center" vertical="center" wrapText="1"/>
    </xf>
    <xf numFmtId="0" fontId="32" fillId="36" borderId="24"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19" fillId="0" borderId="0" xfId="0" applyFont="1" applyAlignment="1">
      <alignment horizontal="center" vertical="center" wrapText="1"/>
    </xf>
    <xf numFmtId="0" fontId="31"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Fill="1" applyAlignment="1">
      <alignment horizontal="left"/>
    </xf>
    <xf numFmtId="0" fontId="2" fillId="37" borderId="11" xfId="0" applyFont="1" applyFill="1" applyBorder="1" applyAlignment="1">
      <alignment horizontal="center" vertical="center"/>
    </xf>
    <xf numFmtId="0" fontId="8" fillId="37" borderId="11" xfId="0" applyFont="1" applyFill="1" applyBorder="1" applyAlignment="1">
      <alignment horizontal="center"/>
    </xf>
    <xf numFmtId="0" fontId="8" fillId="37" borderId="11" xfId="0" applyFont="1" applyFill="1" applyBorder="1" applyAlignment="1">
      <alignment horizontal="center" vertical="center" wrapText="1"/>
    </xf>
    <xf numFmtId="0" fontId="8" fillId="37" borderId="11" xfId="0" applyFont="1" applyFill="1" applyBorder="1" applyAlignment="1">
      <alignment horizontal="center" vertical="center"/>
    </xf>
    <xf numFmtId="0" fontId="19" fillId="0" borderId="0" xfId="0" applyFont="1" applyFill="1" applyBorder="1" applyAlignment="1">
      <alignment horizontal="center"/>
    </xf>
    <xf numFmtId="0" fontId="31" fillId="0" borderId="0" xfId="0" applyFont="1" applyFill="1" applyAlignment="1">
      <alignment horizontal="center"/>
    </xf>
    <xf numFmtId="0" fontId="12" fillId="0" borderId="10" xfId="0" applyFont="1" applyFill="1" applyBorder="1" applyAlignment="1">
      <alignment horizontal="center"/>
    </xf>
    <xf numFmtId="0" fontId="12" fillId="0" borderId="0" xfId="0" applyFont="1" applyFill="1" applyBorder="1" applyAlignment="1">
      <alignment horizontal="center"/>
    </xf>
    <xf numFmtId="0" fontId="8" fillId="35" borderId="11" xfId="75" applyFont="1" applyFill="1" applyBorder="1" applyAlignment="1">
      <alignment horizontal="center" vertical="center" wrapText="1"/>
      <protection/>
    </xf>
    <xf numFmtId="0" fontId="8" fillId="0" borderId="11" xfId="75" applyFont="1" applyFill="1" applyBorder="1" applyAlignment="1">
      <alignment horizontal="center"/>
      <protection/>
    </xf>
    <xf numFmtId="0" fontId="90" fillId="0" borderId="11" xfId="0" applyFont="1" applyFill="1" applyBorder="1" applyAlignment="1">
      <alignment horizontal="center" vertical="center"/>
    </xf>
    <xf numFmtId="0" fontId="8" fillId="36" borderId="11" xfId="75" applyFont="1" applyFill="1" applyBorder="1" applyAlignment="1">
      <alignment horizontal="center" vertical="center" wrapText="1"/>
      <protection/>
    </xf>
    <xf numFmtId="49" fontId="8" fillId="36" borderId="11" xfId="75" applyNumberFormat="1" applyFont="1" applyFill="1" applyBorder="1" applyAlignment="1">
      <alignment horizontal="center" vertical="center" wrapText="1"/>
      <protection/>
    </xf>
    <xf numFmtId="0" fontId="8" fillId="33" borderId="11" xfId="75" applyFont="1" applyFill="1" applyBorder="1" applyAlignment="1">
      <alignment horizontal="center" vertical="center" wrapText="1"/>
      <protection/>
    </xf>
    <xf numFmtId="0" fontId="8" fillId="34" borderId="11" xfId="75" applyFont="1" applyFill="1" applyBorder="1" applyAlignment="1">
      <alignment horizontal="center" vertical="center" wrapText="1"/>
      <protection/>
    </xf>
    <xf numFmtId="0" fontId="90" fillId="0" borderId="25" xfId="0" applyFont="1" applyFill="1" applyBorder="1" applyAlignment="1">
      <alignment horizontal="center" vertical="center" wrapText="1"/>
    </xf>
    <xf numFmtId="0" fontId="90" fillId="0" borderId="26" xfId="0" applyFont="1" applyFill="1" applyBorder="1" applyAlignment="1">
      <alignment horizontal="center" vertical="center" wrapText="1"/>
    </xf>
    <xf numFmtId="0" fontId="90" fillId="0" borderId="27" xfId="0" applyFont="1" applyFill="1" applyBorder="1" applyAlignment="1">
      <alignment horizontal="center" vertical="center" wrapText="1"/>
    </xf>
    <xf numFmtId="0" fontId="19" fillId="0" borderId="0" xfId="0" applyFont="1" applyFill="1" applyAlignment="1">
      <alignment horizontal="left"/>
    </xf>
    <xf numFmtId="0" fontId="19" fillId="0" borderId="0" xfId="75" applyFont="1" applyFill="1" applyAlignment="1">
      <alignment horizontal="center" vertical="center"/>
      <protection/>
    </xf>
    <xf numFmtId="0" fontId="31" fillId="0" borderId="0" xfId="75" applyFont="1" applyFill="1" applyAlignment="1">
      <alignment horizontal="center" vertical="top"/>
      <protection/>
    </xf>
    <xf numFmtId="0" fontId="27" fillId="36" borderId="10" xfId="0" applyFont="1" applyFill="1" applyBorder="1" applyAlignment="1">
      <alignment horizontal="center"/>
    </xf>
    <xf numFmtId="0" fontId="90" fillId="0" borderId="11" xfId="75" applyFont="1" applyFill="1" applyBorder="1" applyAlignment="1">
      <alignment horizontal="center" vertical="center" wrapText="1"/>
      <protection/>
    </xf>
    <xf numFmtId="49" fontId="90" fillId="0" borderId="11" xfId="75" applyNumberFormat="1" applyFont="1" applyFill="1" applyBorder="1" applyAlignment="1">
      <alignment horizontal="center" vertical="center" wrapText="1"/>
      <protection/>
    </xf>
    <xf numFmtId="0" fontId="93" fillId="0" borderId="11" xfId="0" applyFont="1" applyBorder="1" applyAlignment="1">
      <alignment horizontal="center" vertical="center" wrapText="1"/>
    </xf>
    <xf numFmtId="0" fontId="93"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19" fillId="0" borderId="0" xfId="76" applyFont="1" applyFill="1" applyAlignment="1">
      <alignment horizontal="left"/>
      <protection/>
    </xf>
    <xf numFmtId="0" fontId="19" fillId="0" borderId="0" xfId="74" applyFont="1" applyFill="1" applyAlignment="1">
      <alignment horizontal="center"/>
      <protection/>
    </xf>
    <xf numFmtId="0" fontId="2" fillId="0" borderId="11" xfId="76" applyFont="1" applyFill="1" applyBorder="1" applyAlignment="1">
      <alignment horizontal="center" vertical="center" wrapText="1"/>
      <protection/>
    </xf>
    <xf numFmtId="0" fontId="8" fillId="0" borderId="11" xfId="75" applyFont="1" applyFill="1" applyBorder="1" applyAlignment="1">
      <alignment horizontal="center" vertical="center" wrapText="1"/>
      <protection/>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2" fillId="0" borderId="0" xfId="0" applyFont="1" applyFill="1" applyAlignment="1">
      <alignment horizontal="center" vertical="center" wrapText="1"/>
    </xf>
    <xf numFmtId="0" fontId="31" fillId="0" borderId="0" xfId="0" applyFont="1" applyFill="1" applyAlignment="1">
      <alignment horizontal="center" vertical="center" wrapText="1"/>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Alignment="1">
      <alignment horizontal="left" vertical="center" wrapText="1"/>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166" fontId="37" fillId="0" borderId="11" xfId="48" applyNumberFormat="1" applyFont="1" applyFill="1" applyBorder="1" applyAlignment="1">
      <alignment horizontal="center" vertical="center" wrapText="1"/>
    </xf>
    <xf numFmtId="0" fontId="19" fillId="0" borderId="0" xfId="0" applyFont="1" applyFill="1" applyAlignment="1">
      <alignment horizontal="center"/>
    </xf>
    <xf numFmtId="0" fontId="31" fillId="0" borderId="0" xfId="0" applyFont="1" applyFill="1" applyBorder="1" applyAlignment="1">
      <alignment horizontal="center" vertical="center"/>
    </xf>
    <xf numFmtId="0" fontId="8" fillId="0" borderId="11"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cellXfs>
  <cellStyles count="7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8" xfId="46"/>
    <cellStyle name="Comma 3" xfId="47"/>
    <cellStyle name="Comma 6 2_88345_93552" xfId="48"/>
    <cellStyle name="Comma_Bieu 1-Ctieu" xfId="49"/>
    <cellStyle name="Comma_Sheet1"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1 3" xfId="64"/>
    <cellStyle name="Normal 11 3 3" xfId="65"/>
    <cellStyle name="Normal 18" xfId="66"/>
    <cellStyle name="Normal 19" xfId="67"/>
    <cellStyle name="Normal 2 2 2 2" xfId="68"/>
    <cellStyle name="Normal 22" xfId="69"/>
    <cellStyle name="Normal 34" xfId="70"/>
    <cellStyle name="Normal_BC va kehoach2010-2015 danso bancuoi" xfId="71"/>
    <cellStyle name="Normal_Bieu 1-Ctieu" xfId="72"/>
    <cellStyle name="Normal_Bieu So KH 11.11.2008" xfId="73"/>
    <cellStyle name="Normal_Bieu So KH 11.11.2008_Bieu so lieu KH 2010 ((1493))" xfId="74"/>
    <cellStyle name="Normal_Chi tieu nam 2009 moi" xfId="75"/>
    <cellStyle name="Normal_Chi tieu PTSNYT và hoat dong tinh 2009" xfId="76"/>
    <cellStyle name="Normal_Chi tieu PTSNYT và hoat dong tinh 2009 H_Bieu so lieu KH 2010 ((1493))"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9525</xdr:rowOff>
    </xdr:from>
    <xdr:to>
      <xdr:col>6</xdr:col>
      <xdr:colOff>0</xdr:colOff>
      <xdr:row>7</xdr:row>
      <xdr:rowOff>0</xdr:rowOff>
    </xdr:to>
    <xdr:sp>
      <xdr:nvSpPr>
        <xdr:cNvPr id="1" name="Line 4"/>
        <xdr:cNvSpPr>
          <a:spLocks/>
        </xdr:cNvSpPr>
      </xdr:nvSpPr>
      <xdr:spPr>
        <a:xfrm flipH="1">
          <a:off x="6677025" y="1266825"/>
          <a:ext cx="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xdr:rowOff>
    </xdr:from>
    <xdr:to>
      <xdr:col>5</xdr:col>
      <xdr:colOff>0</xdr:colOff>
      <xdr:row>7</xdr:row>
      <xdr:rowOff>0</xdr:rowOff>
    </xdr:to>
    <xdr:sp>
      <xdr:nvSpPr>
        <xdr:cNvPr id="2" name="Line 16"/>
        <xdr:cNvSpPr>
          <a:spLocks/>
        </xdr:cNvSpPr>
      </xdr:nvSpPr>
      <xdr:spPr>
        <a:xfrm flipH="1">
          <a:off x="5610225" y="1266825"/>
          <a:ext cx="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8</xdr:row>
      <xdr:rowOff>0</xdr:rowOff>
    </xdr:to>
    <xdr:sp>
      <xdr:nvSpPr>
        <xdr:cNvPr id="1" name="Line 1"/>
        <xdr:cNvSpPr>
          <a:spLocks/>
        </xdr:cNvSpPr>
      </xdr:nvSpPr>
      <xdr:spPr>
        <a:xfrm flipH="1">
          <a:off x="0" y="1285875"/>
          <a:ext cx="0"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7</xdr:row>
      <xdr:rowOff>0</xdr:rowOff>
    </xdr:to>
    <xdr:sp>
      <xdr:nvSpPr>
        <xdr:cNvPr id="1" name="Line 5"/>
        <xdr:cNvSpPr>
          <a:spLocks/>
        </xdr:cNvSpPr>
      </xdr:nvSpPr>
      <xdr:spPr>
        <a:xfrm flipH="1">
          <a:off x="5610225" y="115252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65"/>
  <sheetViews>
    <sheetView tabSelected="1" view="pageBreakPreview" zoomScale="115" zoomScaleSheetLayoutView="115" zoomScalePageLayoutView="0" workbookViewId="0" topLeftCell="A1">
      <pane ySplit="7" topLeftCell="A17" activePane="bottomLeft" state="frozen"/>
      <selection pane="topLeft" activeCell="A1" sqref="A1"/>
      <selection pane="bottomLeft" activeCell="E11" sqref="E11"/>
    </sheetView>
  </sheetViews>
  <sheetFormatPr defaultColWidth="9.140625" defaultRowHeight="12.75"/>
  <cols>
    <col min="1" max="1" width="3.57421875" style="151" customWidth="1"/>
    <col min="2" max="2" width="29.00390625" style="137" customWidth="1"/>
    <col min="3" max="3" width="6.57421875" style="151" customWidth="1"/>
    <col min="4" max="4" width="10.00390625" style="52" customWidth="1"/>
    <col min="5" max="5" width="9.140625" style="52" customWidth="1"/>
    <col min="6" max="6" width="7.28125" style="137" customWidth="1"/>
    <col min="7" max="7" width="7.421875" style="137" customWidth="1"/>
    <col min="8" max="8" width="7.140625" style="137" customWidth="1"/>
    <col min="9" max="9" width="7.28125" style="137" customWidth="1"/>
    <col min="10" max="10" width="7.00390625" style="137" customWidth="1"/>
    <col min="11" max="11" width="7.140625" style="137" customWidth="1"/>
    <col min="12" max="12" width="7.28125" style="137" customWidth="1"/>
    <col min="13" max="13" width="7.140625" style="137" customWidth="1"/>
    <col min="14" max="14" width="7.57421875" style="137" customWidth="1"/>
    <col min="15" max="15" width="8.00390625" style="137" customWidth="1"/>
    <col min="16" max="16" width="7.421875" style="137" customWidth="1"/>
    <col min="17" max="17" width="7.28125" style="137" customWidth="1"/>
    <col min="18" max="18" width="11.140625" style="137" customWidth="1"/>
    <col min="19" max="16384" width="9.140625" style="137" customWidth="1"/>
  </cols>
  <sheetData>
    <row r="1" spans="1:18" ht="18.75" customHeight="1">
      <c r="A1" s="728" t="s">
        <v>193</v>
      </c>
      <c r="B1" s="728"/>
      <c r="C1" s="136"/>
      <c r="D1" s="51"/>
      <c r="E1" s="51"/>
      <c r="F1" s="136"/>
      <c r="G1" s="136"/>
      <c r="H1" s="136"/>
      <c r="I1" s="136"/>
      <c r="J1" s="136"/>
      <c r="K1" s="136"/>
      <c r="L1" s="136"/>
      <c r="M1" s="136"/>
      <c r="N1" s="136"/>
      <c r="O1" s="136"/>
      <c r="P1" s="136"/>
      <c r="Q1" s="136"/>
      <c r="R1" s="136"/>
    </row>
    <row r="2" spans="1:18" ht="18" customHeight="1">
      <c r="A2" s="729" t="s">
        <v>559</v>
      </c>
      <c r="B2" s="730"/>
      <c r="C2" s="730"/>
      <c r="D2" s="730"/>
      <c r="E2" s="730"/>
      <c r="F2" s="730"/>
      <c r="G2" s="730"/>
      <c r="H2" s="730"/>
      <c r="I2" s="730"/>
      <c r="J2" s="730"/>
      <c r="K2" s="730"/>
      <c r="L2" s="730"/>
      <c r="M2" s="730"/>
      <c r="N2" s="730"/>
      <c r="O2" s="730"/>
      <c r="P2" s="730"/>
      <c r="Q2" s="730"/>
      <c r="R2" s="730"/>
    </row>
    <row r="3" spans="1:18" ht="18" customHeight="1">
      <c r="A3" s="731" t="s">
        <v>755</v>
      </c>
      <c r="B3" s="732"/>
      <c r="C3" s="732"/>
      <c r="D3" s="732"/>
      <c r="E3" s="732"/>
      <c r="F3" s="732"/>
      <c r="G3" s="732"/>
      <c r="H3" s="732"/>
      <c r="I3" s="732"/>
      <c r="J3" s="732"/>
      <c r="K3" s="732"/>
      <c r="L3" s="732"/>
      <c r="M3" s="732"/>
      <c r="N3" s="732"/>
      <c r="O3" s="732"/>
      <c r="P3" s="732"/>
      <c r="Q3" s="732"/>
      <c r="R3" s="732"/>
    </row>
    <row r="4" spans="1:18" ht="11.25" customHeight="1">
      <c r="A4" s="138"/>
      <c r="B4" s="139"/>
      <c r="C4" s="139"/>
      <c r="D4" s="53"/>
      <c r="E4" s="53"/>
      <c r="F4" s="140"/>
      <c r="G4" s="140"/>
      <c r="H4" s="140"/>
      <c r="I4" s="140"/>
      <c r="J4" s="140"/>
      <c r="K4" s="140"/>
      <c r="L4" s="140"/>
      <c r="M4" s="140"/>
      <c r="N4" s="140"/>
      <c r="O4" s="140"/>
      <c r="P4" s="140"/>
      <c r="Q4" s="140"/>
      <c r="R4" s="141"/>
    </row>
    <row r="5" spans="1:18" s="142" customFormat="1" ht="24.75" customHeight="1">
      <c r="A5" s="733" t="s">
        <v>724</v>
      </c>
      <c r="B5" s="724" t="s">
        <v>52</v>
      </c>
      <c r="C5" s="733" t="s">
        <v>570</v>
      </c>
      <c r="D5" s="733" t="s">
        <v>560</v>
      </c>
      <c r="E5" s="719" t="s">
        <v>581</v>
      </c>
      <c r="F5" s="720"/>
      <c r="G5" s="720"/>
      <c r="H5" s="720"/>
      <c r="I5" s="720"/>
      <c r="J5" s="720"/>
      <c r="K5" s="720"/>
      <c r="L5" s="720"/>
      <c r="M5" s="720"/>
      <c r="N5" s="720"/>
      <c r="O5" s="720"/>
      <c r="P5" s="720"/>
      <c r="Q5" s="720"/>
      <c r="R5" s="134" t="s">
        <v>756</v>
      </c>
    </row>
    <row r="6" spans="1:18" s="142" customFormat="1" ht="16.5" customHeight="1">
      <c r="A6" s="734"/>
      <c r="B6" s="725"/>
      <c r="C6" s="725"/>
      <c r="D6" s="734"/>
      <c r="E6" s="724" t="s">
        <v>2</v>
      </c>
      <c r="F6" s="719" t="s">
        <v>358</v>
      </c>
      <c r="G6" s="720"/>
      <c r="H6" s="720"/>
      <c r="I6" s="720"/>
      <c r="J6" s="720"/>
      <c r="K6" s="720"/>
      <c r="L6" s="720"/>
      <c r="M6" s="720"/>
      <c r="N6" s="720"/>
      <c r="O6" s="720"/>
      <c r="P6" s="720"/>
      <c r="Q6" s="721"/>
      <c r="R6" s="722" t="s">
        <v>582</v>
      </c>
    </row>
    <row r="7" spans="1:18" s="142" customFormat="1" ht="39" customHeight="1">
      <c r="A7" s="734"/>
      <c r="B7" s="725"/>
      <c r="C7" s="725"/>
      <c r="D7" s="734"/>
      <c r="E7" s="725"/>
      <c r="F7" s="130" t="s">
        <v>572</v>
      </c>
      <c r="G7" s="213" t="s">
        <v>573</v>
      </c>
      <c r="H7" s="130" t="s">
        <v>196</v>
      </c>
      <c r="I7" s="213" t="s">
        <v>574</v>
      </c>
      <c r="J7" s="213" t="s">
        <v>575</v>
      </c>
      <c r="K7" s="213" t="s">
        <v>576</v>
      </c>
      <c r="L7" s="213" t="s">
        <v>577</v>
      </c>
      <c r="M7" s="130" t="s">
        <v>451</v>
      </c>
      <c r="N7" s="213" t="s">
        <v>578</v>
      </c>
      <c r="O7" s="213" t="s">
        <v>579</v>
      </c>
      <c r="P7" s="130" t="s">
        <v>454</v>
      </c>
      <c r="Q7" s="130" t="s">
        <v>455</v>
      </c>
      <c r="R7" s="723"/>
    </row>
    <row r="8" spans="1:18" s="143" customFormat="1" ht="17.25" customHeight="1">
      <c r="A8" s="301" t="s">
        <v>189</v>
      </c>
      <c r="B8" s="302" t="s">
        <v>338</v>
      </c>
      <c r="C8" s="301"/>
      <c r="D8" s="303"/>
      <c r="E8" s="304"/>
      <c r="F8" s="305"/>
      <c r="G8" s="305"/>
      <c r="H8" s="305"/>
      <c r="I8" s="305"/>
      <c r="J8" s="305"/>
      <c r="K8" s="305"/>
      <c r="L8" s="305"/>
      <c r="M8" s="305"/>
      <c r="N8" s="305"/>
      <c r="O8" s="305"/>
      <c r="P8" s="305"/>
      <c r="Q8" s="305"/>
      <c r="R8" s="302"/>
    </row>
    <row r="9" spans="1:18" s="143" customFormat="1" ht="17.25" customHeight="1">
      <c r="A9" s="301" t="s">
        <v>180</v>
      </c>
      <c r="B9" s="302" t="s">
        <v>339</v>
      </c>
      <c r="C9" s="301"/>
      <c r="D9" s="306"/>
      <c r="E9" s="307"/>
      <c r="F9" s="304"/>
      <c r="G9" s="304"/>
      <c r="H9" s="304"/>
      <c r="I9" s="304"/>
      <c r="J9" s="304"/>
      <c r="K9" s="304"/>
      <c r="L9" s="304"/>
      <c r="M9" s="304"/>
      <c r="N9" s="304"/>
      <c r="O9" s="304"/>
      <c r="P9" s="304"/>
      <c r="Q9" s="304"/>
      <c r="R9" s="302"/>
    </row>
    <row r="10" spans="1:18" s="143" customFormat="1" ht="27.75" customHeight="1">
      <c r="A10" s="301"/>
      <c r="B10" s="308" t="s">
        <v>561</v>
      </c>
      <c r="C10" s="301" t="s">
        <v>198</v>
      </c>
      <c r="D10" s="309">
        <f>D16+D32</f>
        <v>9646.3</v>
      </c>
      <c r="E10" s="310">
        <f>E16+E32</f>
        <v>9720</v>
      </c>
      <c r="F10" s="310">
        <f aca="true" t="shared" si="0" ref="F10:Q10">F16+F32</f>
        <v>507.2</v>
      </c>
      <c r="G10" s="310">
        <f t="shared" si="0"/>
        <v>1274.1999999999998</v>
      </c>
      <c r="H10" s="310">
        <f t="shared" si="0"/>
        <v>1088</v>
      </c>
      <c r="I10" s="310">
        <f t="shared" si="0"/>
        <v>517.2</v>
      </c>
      <c r="J10" s="310">
        <f t="shared" si="0"/>
        <v>832.7</v>
      </c>
      <c r="K10" s="310">
        <f t="shared" si="0"/>
        <v>1307</v>
      </c>
      <c r="L10" s="310">
        <f t="shared" si="0"/>
        <v>660</v>
      </c>
      <c r="M10" s="310">
        <f t="shared" si="0"/>
        <v>733.5</v>
      </c>
      <c r="N10" s="310">
        <f t="shared" si="0"/>
        <v>585</v>
      </c>
      <c r="O10" s="310">
        <f t="shared" si="0"/>
        <v>703.7</v>
      </c>
      <c r="P10" s="310">
        <f t="shared" si="0"/>
        <v>925.5</v>
      </c>
      <c r="Q10" s="310">
        <f t="shared" si="0"/>
        <v>586</v>
      </c>
      <c r="R10" s="311">
        <f>E10/D10*100</f>
        <v>100.7640235116055</v>
      </c>
    </row>
    <row r="11" spans="1:18" s="143" customFormat="1" ht="17.25" customHeight="1">
      <c r="A11" s="301"/>
      <c r="B11" s="308" t="s">
        <v>562</v>
      </c>
      <c r="C11" s="301" t="s">
        <v>197</v>
      </c>
      <c r="D11" s="312">
        <f aca="true" t="shared" si="1" ref="D11:Q11">D18+D34</f>
        <v>25080.911988</v>
      </c>
      <c r="E11" s="323">
        <f t="shared" si="1"/>
        <v>25628.0254</v>
      </c>
      <c r="F11" s="310">
        <f t="shared" si="1"/>
        <v>2351.1562</v>
      </c>
      <c r="G11" s="310">
        <f t="shared" si="1"/>
        <v>3447.0597</v>
      </c>
      <c r="H11" s="310">
        <f t="shared" si="1"/>
        <v>3117.3469999999998</v>
      </c>
      <c r="I11" s="310">
        <f t="shared" si="1"/>
        <v>1907.9730000000002</v>
      </c>
      <c r="J11" s="310">
        <f t="shared" si="1"/>
        <v>2367.6845</v>
      </c>
      <c r="K11" s="310">
        <f t="shared" si="1"/>
        <v>2927.3399999999997</v>
      </c>
      <c r="L11" s="310">
        <f t="shared" si="1"/>
        <v>1589.3</v>
      </c>
      <c r="M11" s="310">
        <f t="shared" si="1"/>
        <v>1867.35</v>
      </c>
      <c r="N11" s="310">
        <f t="shared" si="1"/>
        <v>1259</v>
      </c>
      <c r="O11" s="310">
        <f t="shared" si="1"/>
        <v>1652.975</v>
      </c>
      <c r="P11" s="310">
        <f t="shared" si="1"/>
        <v>2016.5</v>
      </c>
      <c r="Q11" s="309">
        <f t="shared" si="1"/>
        <v>1124.3400000000001</v>
      </c>
      <c r="R11" s="311">
        <f>E11/D11*100</f>
        <v>102.1813936122489</v>
      </c>
    </row>
    <row r="12" spans="1:18" ht="17.25" customHeight="1">
      <c r="A12" s="313"/>
      <c r="B12" s="314" t="s">
        <v>563</v>
      </c>
      <c r="C12" s="313" t="s">
        <v>197</v>
      </c>
      <c r="D12" s="315">
        <f>D18</f>
        <v>14375.026768</v>
      </c>
      <c r="E12" s="326">
        <f>SUM(F12:Q12)</f>
        <v>14859.317400000002</v>
      </c>
      <c r="F12" s="316">
        <f aca="true" t="shared" si="2" ref="F12:Q12">F18</f>
        <v>2118.1382</v>
      </c>
      <c r="G12" s="316">
        <f t="shared" si="2"/>
        <v>2131.2597</v>
      </c>
      <c r="H12" s="316">
        <f t="shared" si="2"/>
        <v>2037.347</v>
      </c>
      <c r="I12" s="316">
        <f t="shared" si="2"/>
        <v>1570.2230000000002</v>
      </c>
      <c r="J12" s="316">
        <f t="shared" si="2"/>
        <v>1670.4245</v>
      </c>
      <c r="K12" s="316">
        <f t="shared" si="2"/>
        <v>1600.8999999999999</v>
      </c>
      <c r="L12" s="316">
        <f t="shared" si="2"/>
        <v>600.5</v>
      </c>
      <c r="M12" s="316">
        <f t="shared" si="2"/>
        <v>974.35</v>
      </c>
      <c r="N12" s="316">
        <f t="shared" si="2"/>
        <v>309</v>
      </c>
      <c r="O12" s="316">
        <f t="shared" si="2"/>
        <v>602.9749999999999</v>
      </c>
      <c r="P12" s="316">
        <f t="shared" si="2"/>
        <v>676.5</v>
      </c>
      <c r="Q12" s="316">
        <f t="shared" si="2"/>
        <v>567.7</v>
      </c>
      <c r="R12" s="317">
        <f>E12/D12*100</f>
        <v>103.36897203612916</v>
      </c>
    </row>
    <row r="13" spans="1:18" ht="17.25" customHeight="1">
      <c r="A13" s="313"/>
      <c r="B13" s="318" t="s">
        <v>564</v>
      </c>
      <c r="C13" s="313" t="s">
        <v>197</v>
      </c>
      <c r="D13" s="315">
        <f>D22+D26</f>
        <v>11485.620948</v>
      </c>
      <c r="E13" s="322">
        <f>SUM(F13:Q13)</f>
        <v>11969.903400000001</v>
      </c>
      <c r="F13" s="316">
        <f aca="true" t="shared" si="3" ref="F13:Q13">F22+F26</f>
        <v>2076.2882</v>
      </c>
      <c r="G13" s="316">
        <f t="shared" si="3"/>
        <v>1553.1097</v>
      </c>
      <c r="H13" s="316">
        <f t="shared" si="3"/>
        <v>1608.347</v>
      </c>
      <c r="I13" s="316">
        <f t="shared" si="3"/>
        <v>1507.534</v>
      </c>
      <c r="J13" s="316">
        <f t="shared" si="3"/>
        <v>1370.4245</v>
      </c>
      <c r="K13" s="316">
        <f t="shared" si="3"/>
        <v>1030.8999999999999</v>
      </c>
      <c r="L13" s="316">
        <f t="shared" si="3"/>
        <v>524.5</v>
      </c>
      <c r="M13" s="316">
        <f t="shared" si="3"/>
        <v>895.35</v>
      </c>
      <c r="N13" s="316">
        <f t="shared" si="3"/>
        <v>231</v>
      </c>
      <c r="O13" s="316">
        <f t="shared" si="3"/>
        <v>534.8</v>
      </c>
      <c r="P13" s="316">
        <f t="shared" si="3"/>
        <v>469.95</v>
      </c>
      <c r="Q13" s="316">
        <f t="shared" si="3"/>
        <v>167.7</v>
      </c>
      <c r="R13" s="319">
        <f>E13/D13*100</f>
        <v>104.21642377188437</v>
      </c>
    </row>
    <row r="14" spans="1:18" ht="24.75" customHeight="1">
      <c r="A14" s="313"/>
      <c r="B14" s="320" t="s">
        <v>565</v>
      </c>
      <c r="C14" s="313" t="s">
        <v>13</v>
      </c>
      <c r="D14" s="321">
        <f>D13/D11%</f>
        <v>45.7942715699306</v>
      </c>
      <c r="E14" s="322">
        <f>E13/E11%</f>
        <v>46.706303795063356</v>
      </c>
      <c r="F14" s="321">
        <f aca="true" t="shared" si="4" ref="F14:Q14">F13/F11%</f>
        <v>88.30924121502434</v>
      </c>
      <c r="G14" s="321">
        <f t="shared" si="4"/>
        <v>45.05607199086224</v>
      </c>
      <c r="H14" s="321">
        <f t="shared" si="4"/>
        <v>51.59345430585687</v>
      </c>
      <c r="I14" s="316">
        <f t="shared" si="4"/>
        <v>79.01233403198053</v>
      </c>
      <c r="J14" s="321">
        <f t="shared" si="4"/>
        <v>57.88036792908853</v>
      </c>
      <c r="K14" s="321">
        <f t="shared" si="4"/>
        <v>35.2162714273026</v>
      </c>
      <c r="L14" s="316">
        <f t="shared" si="4"/>
        <v>33.00195054426477</v>
      </c>
      <c r="M14" s="321">
        <f t="shared" si="4"/>
        <v>47.9476263153667</v>
      </c>
      <c r="N14" s="321">
        <f t="shared" si="4"/>
        <v>18.347895154884828</v>
      </c>
      <c r="O14" s="321">
        <f t="shared" si="4"/>
        <v>32.353786354905544</v>
      </c>
      <c r="P14" s="321">
        <f t="shared" si="4"/>
        <v>23.30523183734193</v>
      </c>
      <c r="Q14" s="321">
        <f t="shared" si="4"/>
        <v>14.915417044666201</v>
      </c>
      <c r="R14" s="317">
        <f>E14-D14</f>
        <v>0.9120322251327551</v>
      </c>
    </row>
    <row r="15" spans="1:18" s="143" customFormat="1" ht="17.25" customHeight="1">
      <c r="A15" s="301">
        <v>1</v>
      </c>
      <c r="B15" s="308" t="s">
        <v>343</v>
      </c>
      <c r="C15" s="301"/>
      <c r="D15" s="309"/>
      <c r="E15" s="322"/>
      <c r="F15" s="309"/>
      <c r="G15" s="309"/>
      <c r="H15" s="309"/>
      <c r="I15" s="309"/>
      <c r="J15" s="309"/>
      <c r="K15" s="309"/>
      <c r="L15" s="309"/>
      <c r="M15" s="309"/>
      <c r="N15" s="309"/>
      <c r="O15" s="309"/>
      <c r="P15" s="309"/>
      <c r="Q15" s="309"/>
      <c r="R15" s="311"/>
    </row>
    <row r="16" spans="1:18" s="143" customFormat="1" ht="17.25" customHeight="1">
      <c r="A16" s="301"/>
      <c r="B16" s="302" t="s">
        <v>200</v>
      </c>
      <c r="C16" s="301" t="s">
        <v>198</v>
      </c>
      <c r="D16" s="309">
        <f>D20+D24+D28</f>
        <v>4398.3</v>
      </c>
      <c r="E16" s="323">
        <f>SUM(F16:Q16)</f>
        <v>4470</v>
      </c>
      <c r="F16" s="310">
        <f aca="true" t="shared" si="5" ref="F16:Q16">F20+F24+F28</f>
        <v>402</v>
      </c>
      <c r="G16" s="310">
        <f t="shared" si="5"/>
        <v>689.4</v>
      </c>
      <c r="H16" s="310">
        <f t="shared" si="5"/>
        <v>638</v>
      </c>
      <c r="I16" s="310">
        <f t="shared" si="5"/>
        <v>342.2</v>
      </c>
      <c r="J16" s="310">
        <f t="shared" si="5"/>
        <v>490.7</v>
      </c>
      <c r="K16" s="310">
        <f t="shared" si="5"/>
        <v>627</v>
      </c>
      <c r="L16" s="310">
        <f t="shared" si="5"/>
        <v>180</v>
      </c>
      <c r="M16" s="310">
        <f t="shared" si="5"/>
        <v>263.5</v>
      </c>
      <c r="N16" s="310">
        <f t="shared" si="5"/>
        <v>110</v>
      </c>
      <c r="O16" s="310">
        <f t="shared" si="5"/>
        <v>178.7</v>
      </c>
      <c r="P16" s="310">
        <f t="shared" si="5"/>
        <v>255.5</v>
      </c>
      <c r="Q16" s="310">
        <f t="shared" si="5"/>
        <v>293</v>
      </c>
      <c r="R16" s="311">
        <f>E16/D16*100</f>
        <v>101.63017529500034</v>
      </c>
    </row>
    <row r="17" spans="1:18" s="143" customFormat="1" ht="17.25" customHeight="1">
      <c r="A17" s="301"/>
      <c r="B17" s="302" t="s">
        <v>566</v>
      </c>
      <c r="C17" s="301" t="s">
        <v>567</v>
      </c>
      <c r="D17" s="324">
        <f>D18/D16*10</f>
        <v>32.683142959779914</v>
      </c>
      <c r="E17" s="325">
        <f>E18/E16*10</f>
        <v>33.24232080536913</v>
      </c>
      <c r="F17" s="309">
        <f>F18/F16*10</f>
        <v>52.690004975124374</v>
      </c>
      <c r="G17" s="309">
        <f aca="true" t="shared" si="6" ref="G17:Q17">G18/G16*10</f>
        <v>30.914704090513496</v>
      </c>
      <c r="H17" s="309">
        <f t="shared" si="6"/>
        <v>31.933338557993732</v>
      </c>
      <c r="I17" s="309">
        <f t="shared" si="6"/>
        <v>45.88611922852134</v>
      </c>
      <c r="J17" s="310">
        <f t="shared" si="6"/>
        <v>34.041664968412476</v>
      </c>
      <c r="K17" s="309">
        <f t="shared" si="6"/>
        <v>25.53269537480064</v>
      </c>
      <c r="L17" s="309">
        <f t="shared" si="6"/>
        <v>33.361111111111114</v>
      </c>
      <c r="M17" s="310">
        <f t="shared" si="6"/>
        <v>36.977229601518026</v>
      </c>
      <c r="N17" s="309">
        <f t="shared" si="6"/>
        <v>28.09090909090909</v>
      </c>
      <c r="O17" s="309">
        <f t="shared" si="6"/>
        <v>33.74230554001119</v>
      </c>
      <c r="P17" s="309">
        <f t="shared" si="6"/>
        <v>26.47749510763209</v>
      </c>
      <c r="Q17" s="309">
        <f t="shared" si="6"/>
        <v>19.37542662116041</v>
      </c>
      <c r="R17" s="311">
        <f>E17/D17*100</f>
        <v>101.71090597461006</v>
      </c>
    </row>
    <row r="18" spans="1:18" s="143" customFormat="1" ht="17.25" customHeight="1">
      <c r="A18" s="301"/>
      <c r="B18" s="302" t="s">
        <v>202</v>
      </c>
      <c r="C18" s="301" t="s">
        <v>197</v>
      </c>
      <c r="D18" s="324">
        <f>D22+D26+D30</f>
        <v>14375.026768</v>
      </c>
      <c r="E18" s="307">
        <f>SUM(F18:Q18)</f>
        <v>14859.317400000002</v>
      </c>
      <c r="F18" s="310">
        <f aca="true" t="shared" si="7" ref="F18:Q18">F22+F26+F30</f>
        <v>2118.1382</v>
      </c>
      <c r="G18" s="310">
        <f t="shared" si="7"/>
        <v>2131.2597</v>
      </c>
      <c r="H18" s="310">
        <f t="shared" si="7"/>
        <v>2037.347</v>
      </c>
      <c r="I18" s="310">
        <f t="shared" si="7"/>
        <v>1570.2230000000002</v>
      </c>
      <c r="J18" s="310">
        <f t="shared" si="7"/>
        <v>1670.4245</v>
      </c>
      <c r="K18" s="310">
        <f t="shared" si="7"/>
        <v>1600.8999999999999</v>
      </c>
      <c r="L18" s="310">
        <f t="shared" si="7"/>
        <v>600.5</v>
      </c>
      <c r="M18" s="310">
        <f t="shared" si="7"/>
        <v>974.35</v>
      </c>
      <c r="N18" s="310">
        <f t="shared" si="7"/>
        <v>309</v>
      </c>
      <c r="O18" s="310">
        <f t="shared" si="7"/>
        <v>602.9749999999999</v>
      </c>
      <c r="P18" s="310">
        <f t="shared" si="7"/>
        <v>676.5</v>
      </c>
      <c r="Q18" s="310">
        <f t="shared" si="7"/>
        <v>567.7</v>
      </c>
      <c r="R18" s="311">
        <f>E18/D18*100</f>
        <v>103.36897203612916</v>
      </c>
    </row>
    <row r="19" spans="1:18" s="143" customFormat="1" ht="17.25" customHeight="1">
      <c r="A19" s="301" t="s">
        <v>182</v>
      </c>
      <c r="B19" s="302" t="s">
        <v>334</v>
      </c>
      <c r="C19" s="301"/>
      <c r="D19" s="324"/>
      <c r="E19" s="307"/>
      <c r="F19" s="310"/>
      <c r="G19" s="310"/>
      <c r="H19" s="310"/>
      <c r="I19" s="310"/>
      <c r="J19" s="310"/>
      <c r="K19" s="310"/>
      <c r="L19" s="310"/>
      <c r="M19" s="310"/>
      <c r="N19" s="310"/>
      <c r="O19" s="310"/>
      <c r="P19" s="310"/>
      <c r="Q19" s="310"/>
      <c r="R19" s="311"/>
    </row>
    <row r="20" spans="1:18" ht="17.25" customHeight="1">
      <c r="A20" s="313"/>
      <c r="B20" s="314" t="s">
        <v>200</v>
      </c>
      <c r="C20" s="313" t="s">
        <v>198</v>
      </c>
      <c r="D20" s="321">
        <v>546.4</v>
      </c>
      <c r="E20" s="316">
        <f>SUM(F20:Q20)</f>
        <v>560</v>
      </c>
      <c r="F20" s="210">
        <f>22+157</f>
        <v>179</v>
      </c>
      <c r="G20" s="211">
        <f>207.2-157</f>
        <v>50.19999999999999</v>
      </c>
      <c r="H20" s="210">
        <v>83</v>
      </c>
      <c r="I20" s="211">
        <v>124.7</v>
      </c>
      <c r="J20" s="211">
        <v>61.1</v>
      </c>
      <c r="K20" s="210">
        <v>14</v>
      </c>
      <c r="L20" s="210">
        <v>10</v>
      </c>
      <c r="M20" s="210">
        <v>38</v>
      </c>
      <c r="N20" s="212"/>
      <c r="O20" s="212"/>
      <c r="P20" s="212"/>
      <c r="Q20" s="212"/>
      <c r="R20" s="317">
        <f>E20/D20*100</f>
        <v>102.48901903367498</v>
      </c>
    </row>
    <row r="21" spans="1:18" ht="17.25" customHeight="1">
      <c r="A21" s="313"/>
      <c r="B21" s="314" t="s">
        <v>301</v>
      </c>
      <c r="C21" s="313" t="s">
        <v>567</v>
      </c>
      <c r="D21" s="321">
        <v>59.3007</v>
      </c>
      <c r="E21" s="322">
        <f>E22/E20*10</f>
        <v>59.50084285714284</v>
      </c>
      <c r="F21" s="210">
        <v>65.1</v>
      </c>
      <c r="G21" s="211">
        <v>63.335</v>
      </c>
      <c r="H21" s="211">
        <v>52.09</v>
      </c>
      <c r="I21" s="211">
        <v>57.2</v>
      </c>
      <c r="J21" s="210">
        <v>58.95</v>
      </c>
      <c r="K21" s="210">
        <v>54</v>
      </c>
      <c r="L21" s="211">
        <v>56.5</v>
      </c>
      <c r="M21" s="211">
        <v>55.5</v>
      </c>
      <c r="N21" s="316"/>
      <c r="O21" s="316"/>
      <c r="P21" s="316"/>
      <c r="Q21" s="316"/>
      <c r="R21" s="317">
        <f>E21/D21*100</f>
        <v>100.33750504992831</v>
      </c>
    </row>
    <row r="22" spans="1:18" ht="17.25" customHeight="1">
      <c r="A22" s="313"/>
      <c r="B22" s="314" t="s">
        <v>202</v>
      </c>
      <c r="C22" s="313" t="s">
        <v>197</v>
      </c>
      <c r="D22" s="315">
        <f>D20*D21/10</f>
        <v>3240.190248</v>
      </c>
      <c r="E22" s="326">
        <f>SUM(F22:Q22)</f>
        <v>3332.0471999999995</v>
      </c>
      <c r="F22" s="316">
        <f>F20*F21/10</f>
        <v>1165.29</v>
      </c>
      <c r="G22" s="316">
        <f aca="true" t="shared" si="8" ref="G22:Q22">G20*G21/10</f>
        <v>317.94169999999997</v>
      </c>
      <c r="H22" s="316">
        <f t="shared" si="8"/>
        <v>432.34700000000004</v>
      </c>
      <c r="I22" s="316">
        <f t="shared" si="8"/>
        <v>713.284</v>
      </c>
      <c r="J22" s="316">
        <f t="shared" si="8"/>
        <v>360.1845</v>
      </c>
      <c r="K22" s="316">
        <f t="shared" si="8"/>
        <v>75.6</v>
      </c>
      <c r="L22" s="316">
        <f t="shared" si="8"/>
        <v>56.5</v>
      </c>
      <c r="M22" s="316">
        <f t="shared" si="8"/>
        <v>210.9</v>
      </c>
      <c r="N22" s="316">
        <f t="shared" si="8"/>
        <v>0</v>
      </c>
      <c r="O22" s="316">
        <f t="shared" si="8"/>
        <v>0</v>
      </c>
      <c r="P22" s="316">
        <f t="shared" si="8"/>
        <v>0</v>
      </c>
      <c r="Q22" s="316">
        <f t="shared" si="8"/>
        <v>0</v>
      </c>
      <c r="R22" s="317">
        <f>E22/D22*100</f>
        <v>102.83492464853563</v>
      </c>
    </row>
    <row r="23" spans="1:18" s="142" customFormat="1" ht="17.25" customHeight="1">
      <c r="A23" s="327" t="s">
        <v>183</v>
      </c>
      <c r="B23" s="328" t="s">
        <v>203</v>
      </c>
      <c r="C23" s="329"/>
      <c r="D23" s="307"/>
      <c r="E23" s="322"/>
      <c r="F23" s="330"/>
      <c r="G23" s="331"/>
      <c r="H23" s="331"/>
      <c r="I23" s="331"/>
      <c r="J23" s="331"/>
      <c r="K23" s="331"/>
      <c r="L23" s="331"/>
      <c r="M23" s="331"/>
      <c r="N23" s="331"/>
      <c r="O23" s="331"/>
      <c r="P23" s="331"/>
      <c r="Q23" s="331"/>
      <c r="R23" s="325"/>
    </row>
    <row r="24" spans="1:18" ht="17.25" customHeight="1">
      <c r="A24" s="313"/>
      <c r="B24" s="314" t="s">
        <v>200</v>
      </c>
      <c r="C24" s="313" t="s">
        <v>198</v>
      </c>
      <c r="D24" s="321">
        <v>1975.9</v>
      </c>
      <c r="E24" s="316">
        <f>SUM(F24:Q24)</f>
        <v>2034</v>
      </c>
      <c r="F24" s="214">
        <f>26+170</f>
        <v>196</v>
      </c>
      <c r="G24" s="215">
        <f>436.2-170</f>
        <v>266.2</v>
      </c>
      <c r="H24" s="214">
        <v>280</v>
      </c>
      <c r="I24" s="215">
        <v>176.5</v>
      </c>
      <c r="J24" s="215">
        <v>229.6</v>
      </c>
      <c r="K24" s="214">
        <v>233</v>
      </c>
      <c r="L24" s="214">
        <v>120</v>
      </c>
      <c r="M24" s="215">
        <v>175.5</v>
      </c>
      <c r="N24" s="214">
        <v>60</v>
      </c>
      <c r="O24" s="215">
        <v>133.7</v>
      </c>
      <c r="P24" s="215">
        <v>120.5</v>
      </c>
      <c r="Q24" s="214">
        <v>43</v>
      </c>
      <c r="R24" s="317">
        <f>E24/D24*100</f>
        <v>102.9404322081077</v>
      </c>
    </row>
    <row r="25" spans="1:18" ht="17.25" customHeight="1">
      <c r="A25" s="313"/>
      <c r="B25" s="314" t="s">
        <v>201</v>
      </c>
      <c r="C25" s="313" t="s">
        <v>567</v>
      </c>
      <c r="D25" s="315">
        <v>41.73</v>
      </c>
      <c r="E25" s="332">
        <f>E26/E24*10</f>
        <v>42.467336283185844</v>
      </c>
      <c r="F25" s="215">
        <v>46.4795</v>
      </c>
      <c r="G25" s="214">
        <v>46.4</v>
      </c>
      <c r="H25" s="214">
        <v>42</v>
      </c>
      <c r="I25" s="214">
        <v>45</v>
      </c>
      <c r="J25" s="214">
        <v>44</v>
      </c>
      <c r="K25" s="214">
        <v>41</v>
      </c>
      <c r="L25" s="214">
        <v>39</v>
      </c>
      <c r="M25" s="214">
        <v>39</v>
      </c>
      <c r="N25" s="215">
        <v>38.5</v>
      </c>
      <c r="O25" s="214">
        <v>40</v>
      </c>
      <c r="P25" s="214">
        <v>39</v>
      </c>
      <c r="Q25" s="214">
        <v>39</v>
      </c>
      <c r="R25" s="317">
        <f>E25/D25*100</f>
        <v>101.76692135918009</v>
      </c>
    </row>
    <row r="26" spans="1:18" ht="17.25" customHeight="1">
      <c r="A26" s="313"/>
      <c r="B26" s="314" t="s">
        <v>202</v>
      </c>
      <c r="C26" s="313" t="s">
        <v>197</v>
      </c>
      <c r="D26" s="321">
        <f>D24*D25/10</f>
        <v>8245.4307</v>
      </c>
      <c r="E26" s="322">
        <f>SUM(F26:Q26)</f>
        <v>8637.8562</v>
      </c>
      <c r="F26" s="316">
        <f>F24*F25/10</f>
        <v>910.9982</v>
      </c>
      <c r="G26" s="316">
        <f aca="true" t="shared" si="9" ref="G26:Q26">G24*G25/10</f>
        <v>1235.168</v>
      </c>
      <c r="H26" s="316">
        <f t="shared" si="9"/>
        <v>1176</v>
      </c>
      <c r="I26" s="316">
        <f t="shared" si="9"/>
        <v>794.25</v>
      </c>
      <c r="J26" s="316">
        <f t="shared" si="9"/>
        <v>1010.24</v>
      </c>
      <c r="K26" s="316">
        <f t="shared" si="9"/>
        <v>955.3</v>
      </c>
      <c r="L26" s="316">
        <f t="shared" si="9"/>
        <v>468</v>
      </c>
      <c r="M26" s="321">
        <f t="shared" si="9"/>
        <v>684.45</v>
      </c>
      <c r="N26" s="316">
        <f t="shared" si="9"/>
        <v>231</v>
      </c>
      <c r="O26" s="321">
        <f t="shared" si="9"/>
        <v>534.8</v>
      </c>
      <c r="P26" s="316">
        <f t="shared" si="9"/>
        <v>469.95</v>
      </c>
      <c r="Q26" s="316">
        <f t="shared" si="9"/>
        <v>167.7</v>
      </c>
      <c r="R26" s="317">
        <f>E26/D26*100</f>
        <v>104.75930869202502</v>
      </c>
    </row>
    <row r="27" spans="1:18" s="143" customFormat="1" ht="17.25" customHeight="1">
      <c r="A27" s="301" t="s">
        <v>184</v>
      </c>
      <c r="B27" s="308" t="s">
        <v>302</v>
      </c>
      <c r="C27" s="301"/>
      <c r="D27" s="309"/>
      <c r="E27" s="332"/>
      <c r="F27" s="333"/>
      <c r="G27" s="309"/>
      <c r="H27" s="309"/>
      <c r="I27" s="309"/>
      <c r="J27" s="309"/>
      <c r="K27" s="309"/>
      <c r="L27" s="309"/>
      <c r="M27" s="309"/>
      <c r="N27" s="309"/>
      <c r="O27" s="309"/>
      <c r="P27" s="309"/>
      <c r="Q27" s="309"/>
      <c r="R27" s="311"/>
    </row>
    <row r="28" spans="1:18" ht="17.25" customHeight="1">
      <c r="A28" s="313"/>
      <c r="B28" s="314" t="s">
        <v>200</v>
      </c>
      <c r="C28" s="313" t="s">
        <v>198</v>
      </c>
      <c r="D28" s="316">
        <v>1876</v>
      </c>
      <c r="E28" s="316">
        <f>SUM(F28:Q28)</f>
        <v>1876</v>
      </c>
      <c r="F28" s="214">
        <v>27</v>
      </c>
      <c r="G28" s="214">
        <f>400-27</f>
        <v>373</v>
      </c>
      <c r="H28" s="216">
        <v>275</v>
      </c>
      <c r="I28" s="216">
        <v>41</v>
      </c>
      <c r="J28" s="216">
        <v>200</v>
      </c>
      <c r="K28" s="216">
        <v>380</v>
      </c>
      <c r="L28" s="216">
        <v>50</v>
      </c>
      <c r="M28" s="216">
        <v>50</v>
      </c>
      <c r="N28" s="216">
        <v>50</v>
      </c>
      <c r="O28" s="216">
        <v>45</v>
      </c>
      <c r="P28" s="216">
        <v>135</v>
      </c>
      <c r="Q28" s="216">
        <v>250</v>
      </c>
      <c r="R28" s="334">
        <f>E28/D28*100</f>
        <v>100</v>
      </c>
    </row>
    <row r="29" spans="1:18" ht="17.25" customHeight="1">
      <c r="A29" s="313"/>
      <c r="B29" s="314" t="s">
        <v>201</v>
      </c>
      <c r="C29" s="313" t="s">
        <v>567</v>
      </c>
      <c r="D29" s="321">
        <v>15.40195</v>
      </c>
      <c r="E29" s="322">
        <f>E30/E28*10</f>
        <v>15.401993603411517</v>
      </c>
      <c r="F29" s="212">
        <v>15.5</v>
      </c>
      <c r="G29" s="218">
        <v>15.5</v>
      </c>
      <c r="H29" s="218">
        <v>15.6</v>
      </c>
      <c r="I29" s="218">
        <v>15.29</v>
      </c>
      <c r="J29" s="219">
        <v>15</v>
      </c>
      <c r="K29" s="219">
        <v>15</v>
      </c>
      <c r="L29" s="218">
        <v>15.2</v>
      </c>
      <c r="M29" s="218">
        <v>15.8</v>
      </c>
      <c r="N29" s="218">
        <v>15.6</v>
      </c>
      <c r="O29" s="218">
        <v>15.15</v>
      </c>
      <c r="P29" s="218">
        <v>15.3</v>
      </c>
      <c r="Q29" s="219">
        <v>16</v>
      </c>
      <c r="R29" s="334">
        <f>E29/D29*100</f>
        <v>100.00028310318837</v>
      </c>
    </row>
    <row r="30" spans="1:18" ht="17.25" customHeight="1">
      <c r="A30" s="313"/>
      <c r="B30" s="314" t="s">
        <v>202</v>
      </c>
      <c r="C30" s="313" t="s">
        <v>197</v>
      </c>
      <c r="D30" s="315">
        <f>D28*D29/10</f>
        <v>2889.40582</v>
      </c>
      <c r="E30" s="322">
        <f>SUM(F30:Q30)</f>
        <v>2889.4140000000007</v>
      </c>
      <c r="F30" s="321">
        <f>F28*F29/10</f>
        <v>41.85</v>
      </c>
      <c r="G30" s="321">
        <f>G28*G29/10</f>
        <v>578.15</v>
      </c>
      <c r="H30" s="316">
        <f aca="true" t="shared" si="10" ref="H30:Q30">H28*H29/10</f>
        <v>429</v>
      </c>
      <c r="I30" s="321">
        <f t="shared" si="10"/>
        <v>62.689</v>
      </c>
      <c r="J30" s="316">
        <f t="shared" si="10"/>
        <v>300</v>
      </c>
      <c r="K30" s="316">
        <f t="shared" si="10"/>
        <v>570</v>
      </c>
      <c r="L30" s="316">
        <f t="shared" si="10"/>
        <v>76</v>
      </c>
      <c r="M30" s="316">
        <f t="shared" si="10"/>
        <v>79</v>
      </c>
      <c r="N30" s="316">
        <f t="shared" si="10"/>
        <v>78</v>
      </c>
      <c r="O30" s="321">
        <f t="shared" si="10"/>
        <v>68.175</v>
      </c>
      <c r="P30" s="321">
        <f t="shared" si="10"/>
        <v>206.55</v>
      </c>
      <c r="Q30" s="316">
        <f t="shared" si="10"/>
        <v>400</v>
      </c>
      <c r="R30" s="334">
        <f>E30/D30*100</f>
        <v>100.00028310318834</v>
      </c>
    </row>
    <row r="31" spans="1:18" ht="17.25" customHeight="1">
      <c r="A31" s="327">
        <v>2</v>
      </c>
      <c r="B31" s="335" t="s">
        <v>340</v>
      </c>
      <c r="C31" s="313"/>
      <c r="D31" s="321"/>
      <c r="E31" s="332"/>
      <c r="F31" s="315"/>
      <c r="G31" s="321"/>
      <c r="H31" s="316"/>
      <c r="I31" s="316"/>
      <c r="J31" s="316"/>
      <c r="K31" s="316"/>
      <c r="L31" s="316"/>
      <c r="M31" s="316"/>
      <c r="N31" s="316"/>
      <c r="O31" s="316"/>
      <c r="P31" s="316"/>
      <c r="Q31" s="316"/>
      <c r="R31" s="311"/>
    </row>
    <row r="32" spans="1:18" s="220" customFormat="1" ht="17.25" customHeight="1">
      <c r="A32" s="336"/>
      <c r="B32" s="337" t="s">
        <v>200</v>
      </c>
      <c r="C32" s="336" t="s">
        <v>198</v>
      </c>
      <c r="D32" s="338">
        <f>D36+D40+D44</f>
        <v>5248</v>
      </c>
      <c r="E32" s="338">
        <f>SUM(F32:Q32)</f>
        <v>5250</v>
      </c>
      <c r="F32" s="338">
        <f aca="true" t="shared" si="11" ref="F32:Q32">F36+F40+F44</f>
        <v>105.2</v>
      </c>
      <c r="G32" s="338">
        <f t="shared" si="11"/>
        <v>584.8</v>
      </c>
      <c r="H32" s="338">
        <f t="shared" si="11"/>
        <v>450</v>
      </c>
      <c r="I32" s="338">
        <f t="shared" si="11"/>
        <v>175</v>
      </c>
      <c r="J32" s="338">
        <f t="shared" si="11"/>
        <v>342</v>
      </c>
      <c r="K32" s="338">
        <f t="shared" si="11"/>
        <v>680</v>
      </c>
      <c r="L32" s="338">
        <f t="shared" si="11"/>
        <v>480</v>
      </c>
      <c r="M32" s="338">
        <f t="shared" si="11"/>
        <v>470</v>
      </c>
      <c r="N32" s="338">
        <f t="shared" si="11"/>
        <v>475</v>
      </c>
      <c r="O32" s="338">
        <f t="shared" si="11"/>
        <v>525</v>
      </c>
      <c r="P32" s="338">
        <f t="shared" si="11"/>
        <v>670</v>
      </c>
      <c r="Q32" s="338">
        <f t="shared" si="11"/>
        <v>293</v>
      </c>
      <c r="R32" s="339">
        <f>E32/D32*100</f>
        <v>100.03810975609757</v>
      </c>
    </row>
    <row r="33" spans="1:18" s="220" customFormat="1" ht="17.25" customHeight="1">
      <c r="A33" s="336"/>
      <c r="B33" s="340" t="s">
        <v>201</v>
      </c>
      <c r="C33" s="336" t="s">
        <v>567</v>
      </c>
      <c r="D33" s="341">
        <f>D34/D32*10</f>
        <v>20.399933727134147</v>
      </c>
      <c r="E33" s="339">
        <f>E34/E32*10</f>
        <v>20.51182476190476</v>
      </c>
      <c r="F33" s="341">
        <f>F34/F32*10</f>
        <v>22.15</v>
      </c>
      <c r="G33" s="341">
        <f aca="true" t="shared" si="12" ref="G33:Q33">G34/G32*10</f>
        <v>22.499999999999996</v>
      </c>
      <c r="H33" s="338">
        <f t="shared" si="12"/>
        <v>24</v>
      </c>
      <c r="I33" s="341">
        <f t="shared" si="12"/>
        <v>19.3</v>
      </c>
      <c r="J33" s="341">
        <f t="shared" si="12"/>
        <v>20.38771929824561</v>
      </c>
      <c r="K33" s="341">
        <f t="shared" si="12"/>
        <v>19.506470588235292</v>
      </c>
      <c r="L33" s="341">
        <f t="shared" si="12"/>
        <v>20.6</v>
      </c>
      <c r="M33" s="338">
        <f t="shared" si="12"/>
        <v>19</v>
      </c>
      <c r="N33" s="338">
        <f t="shared" si="12"/>
        <v>20</v>
      </c>
      <c r="O33" s="338">
        <f t="shared" si="12"/>
        <v>20</v>
      </c>
      <c r="P33" s="338">
        <f t="shared" si="12"/>
        <v>20</v>
      </c>
      <c r="Q33" s="338">
        <f t="shared" si="12"/>
        <v>18.997952218430033</v>
      </c>
      <c r="R33" s="339">
        <f>E33/D33*100</f>
        <v>100.54848724641583</v>
      </c>
    </row>
    <row r="34" spans="1:18" s="220" customFormat="1" ht="17.25" customHeight="1">
      <c r="A34" s="336"/>
      <c r="B34" s="340" t="s">
        <v>202</v>
      </c>
      <c r="C34" s="336" t="s">
        <v>197</v>
      </c>
      <c r="D34" s="341">
        <f>D38+D42+D46</f>
        <v>10705.88522</v>
      </c>
      <c r="E34" s="341">
        <f>SUM(F34:Q34)</f>
        <v>10768.707999999999</v>
      </c>
      <c r="F34" s="338">
        <f aca="true" t="shared" si="13" ref="F34:Q34">F38+F42+F46</f>
        <v>233.01799999999997</v>
      </c>
      <c r="G34" s="338">
        <f t="shared" si="13"/>
        <v>1315.7999999999997</v>
      </c>
      <c r="H34" s="338">
        <f t="shared" si="13"/>
        <v>1080</v>
      </c>
      <c r="I34" s="341">
        <f t="shared" si="13"/>
        <v>337.75</v>
      </c>
      <c r="J34" s="341">
        <f t="shared" si="13"/>
        <v>697.2599999999999</v>
      </c>
      <c r="K34" s="341">
        <f t="shared" si="13"/>
        <v>1326.4399999999998</v>
      </c>
      <c r="L34" s="341">
        <f t="shared" si="13"/>
        <v>988.8</v>
      </c>
      <c r="M34" s="338">
        <f t="shared" si="13"/>
        <v>893</v>
      </c>
      <c r="N34" s="338">
        <f t="shared" si="13"/>
        <v>950</v>
      </c>
      <c r="O34" s="338">
        <f t="shared" si="13"/>
        <v>1050</v>
      </c>
      <c r="P34" s="338">
        <f t="shared" si="13"/>
        <v>1340</v>
      </c>
      <c r="Q34" s="341">
        <f t="shared" si="13"/>
        <v>556.64</v>
      </c>
      <c r="R34" s="339">
        <f>E34/D34*100</f>
        <v>100.58680602966523</v>
      </c>
    </row>
    <row r="35" spans="1:18" s="143" customFormat="1" ht="17.25" customHeight="1">
      <c r="A35" s="301" t="s">
        <v>182</v>
      </c>
      <c r="B35" s="302" t="s">
        <v>397</v>
      </c>
      <c r="C35" s="301"/>
      <c r="D35" s="309"/>
      <c r="E35" s="322"/>
      <c r="F35" s="307"/>
      <c r="G35" s="307"/>
      <c r="H35" s="307"/>
      <c r="I35" s="307"/>
      <c r="J35" s="307"/>
      <c r="K35" s="307"/>
      <c r="L35" s="307"/>
      <c r="M35" s="307"/>
      <c r="N35" s="307"/>
      <c r="O35" s="307"/>
      <c r="P35" s="307"/>
      <c r="Q35" s="307"/>
      <c r="R35" s="311"/>
    </row>
    <row r="36" spans="1:18" ht="17.25" customHeight="1">
      <c r="A36" s="313"/>
      <c r="B36" s="314" t="s">
        <v>200</v>
      </c>
      <c r="C36" s="313" t="s">
        <v>198</v>
      </c>
      <c r="D36" s="316">
        <v>143</v>
      </c>
      <c r="E36" s="326">
        <f>SUM(F36:Q36)</f>
        <v>145</v>
      </c>
      <c r="F36" s="212"/>
      <c r="G36" s="216"/>
      <c r="H36" s="216"/>
      <c r="I36" s="216"/>
      <c r="J36" s="216">
        <v>2</v>
      </c>
      <c r="K36" s="216">
        <v>140</v>
      </c>
      <c r="L36" s="212"/>
      <c r="M36" s="212"/>
      <c r="N36" s="212"/>
      <c r="O36" s="212"/>
      <c r="P36" s="212"/>
      <c r="Q36" s="216">
        <v>3</v>
      </c>
      <c r="R36" s="319">
        <f>E36/D36*100</f>
        <v>101.3986013986014</v>
      </c>
    </row>
    <row r="37" spans="1:18" ht="17.25" customHeight="1">
      <c r="A37" s="313"/>
      <c r="B37" s="314" t="s">
        <v>201</v>
      </c>
      <c r="C37" s="313" t="s">
        <v>567</v>
      </c>
      <c r="D37" s="315">
        <v>12.221</v>
      </c>
      <c r="E37" s="326">
        <f>E38/E36*10</f>
        <v>16.14758620689655</v>
      </c>
      <c r="F37" s="321"/>
      <c r="G37" s="321"/>
      <c r="H37" s="321"/>
      <c r="I37" s="321"/>
      <c r="J37" s="212">
        <v>18.3</v>
      </c>
      <c r="K37" s="217">
        <v>16.06</v>
      </c>
      <c r="L37" s="212"/>
      <c r="M37" s="212"/>
      <c r="N37" s="212"/>
      <c r="O37" s="212"/>
      <c r="P37" s="212"/>
      <c r="Q37" s="212">
        <v>18.8</v>
      </c>
      <c r="R37" s="317">
        <f>E37/D37*100</f>
        <v>132.12982740280296</v>
      </c>
    </row>
    <row r="38" spans="1:18" ht="17.25" customHeight="1">
      <c r="A38" s="313"/>
      <c r="B38" s="314" t="s">
        <v>202</v>
      </c>
      <c r="C38" s="313" t="s">
        <v>197</v>
      </c>
      <c r="D38" s="321">
        <f>D36*D37/10</f>
        <v>174.7603</v>
      </c>
      <c r="E38" s="322">
        <f>K38+Q38+J38</f>
        <v>234.13999999999996</v>
      </c>
      <c r="F38" s="321"/>
      <c r="G38" s="316"/>
      <c r="H38" s="316"/>
      <c r="I38" s="316"/>
      <c r="J38" s="321">
        <f>J36*J37/10</f>
        <v>3.66</v>
      </c>
      <c r="K38" s="321">
        <f>K36*K37/10</f>
        <v>224.83999999999997</v>
      </c>
      <c r="L38" s="316"/>
      <c r="M38" s="316"/>
      <c r="N38" s="316"/>
      <c r="O38" s="316"/>
      <c r="P38" s="316"/>
      <c r="Q38" s="321">
        <f>Q36*Q37/10</f>
        <v>5.640000000000001</v>
      </c>
      <c r="R38" s="317">
        <f>E38/D38*100</f>
        <v>133.97779701682816</v>
      </c>
    </row>
    <row r="39" spans="1:18" s="143" customFormat="1" ht="17.25" customHeight="1">
      <c r="A39" s="301" t="s">
        <v>183</v>
      </c>
      <c r="B39" s="302" t="s">
        <v>396</v>
      </c>
      <c r="C39" s="301"/>
      <c r="D39" s="309"/>
      <c r="E39" s="322"/>
      <c r="F39" s="326"/>
      <c r="G39" s="326"/>
      <c r="H39" s="309"/>
      <c r="I39" s="309"/>
      <c r="J39" s="309"/>
      <c r="K39" s="309"/>
      <c r="L39" s="309"/>
      <c r="M39" s="309"/>
      <c r="N39" s="309"/>
      <c r="O39" s="309"/>
      <c r="P39" s="309"/>
      <c r="Q39" s="309"/>
      <c r="R39" s="311"/>
    </row>
    <row r="40" spans="1:18" ht="17.25" customHeight="1">
      <c r="A40" s="313"/>
      <c r="B40" s="314" t="s">
        <v>200</v>
      </c>
      <c r="C40" s="313" t="s">
        <v>198</v>
      </c>
      <c r="D40" s="316">
        <v>5105</v>
      </c>
      <c r="E40" s="316">
        <f>SUM(F40:Q40)</f>
        <v>5105</v>
      </c>
      <c r="F40" s="210">
        <f>10+95.2</f>
        <v>105.2</v>
      </c>
      <c r="G40" s="210">
        <f>680-95.2</f>
        <v>584.8</v>
      </c>
      <c r="H40" s="210">
        <v>450</v>
      </c>
      <c r="I40" s="210">
        <v>175</v>
      </c>
      <c r="J40" s="210">
        <v>340</v>
      </c>
      <c r="K40" s="210">
        <v>540</v>
      </c>
      <c r="L40" s="210">
        <v>480</v>
      </c>
      <c r="M40" s="210">
        <v>470</v>
      </c>
      <c r="N40" s="210">
        <v>475</v>
      </c>
      <c r="O40" s="210">
        <v>525</v>
      </c>
      <c r="P40" s="210">
        <v>670</v>
      </c>
      <c r="Q40" s="210">
        <v>290</v>
      </c>
      <c r="R40" s="334">
        <f>E40/D40*100</f>
        <v>100</v>
      </c>
    </row>
    <row r="41" spans="1:18" ht="17.25" customHeight="1">
      <c r="A41" s="313"/>
      <c r="B41" s="314" t="s">
        <v>301</v>
      </c>
      <c r="C41" s="313" t="s">
        <v>567</v>
      </c>
      <c r="D41" s="315">
        <v>20.62904</v>
      </c>
      <c r="E41" s="332">
        <f>E42/E40*10</f>
        <v>20.635784524975513</v>
      </c>
      <c r="F41" s="218">
        <v>22.15</v>
      </c>
      <c r="G41" s="218">
        <v>22.5</v>
      </c>
      <c r="H41" s="219">
        <v>24</v>
      </c>
      <c r="I41" s="218">
        <v>19.3</v>
      </c>
      <c r="J41" s="218">
        <v>20.4</v>
      </c>
      <c r="K41" s="218">
        <v>20.4</v>
      </c>
      <c r="L41" s="218">
        <v>20.6</v>
      </c>
      <c r="M41" s="219">
        <v>19</v>
      </c>
      <c r="N41" s="219">
        <v>20</v>
      </c>
      <c r="O41" s="219">
        <v>20</v>
      </c>
      <c r="P41" s="219">
        <v>20</v>
      </c>
      <c r="Q41" s="219">
        <v>19</v>
      </c>
      <c r="R41" s="317">
        <f>E41/D41*100</f>
        <v>100.03269432302963</v>
      </c>
    </row>
    <row r="42" spans="1:18" ht="17.25" customHeight="1">
      <c r="A42" s="313"/>
      <c r="B42" s="314" t="s">
        <v>202</v>
      </c>
      <c r="C42" s="313" t="s">
        <v>197</v>
      </c>
      <c r="D42" s="315">
        <f>D40*D41/10</f>
        <v>10531.12492</v>
      </c>
      <c r="E42" s="322">
        <f>SUM(F42:Q42)</f>
        <v>10534.568</v>
      </c>
      <c r="F42" s="316">
        <f>F40*F41/10</f>
        <v>233.01799999999997</v>
      </c>
      <c r="G42" s="316">
        <f aca="true" t="shared" si="14" ref="G42:Q42">G40*G41/10</f>
        <v>1315.7999999999997</v>
      </c>
      <c r="H42" s="316">
        <f t="shared" si="14"/>
        <v>1080</v>
      </c>
      <c r="I42" s="321">
        <f t="shared" si="14"/>
        <v>337.75</v>
      </c>
      <c r="J42" s="321">
        <f t="shared" si="14"/>
        <v>693.5999999999999</v>
      </c>
      <c r="K42" s="321">
        <f t="shared" si="14"/>
        <v>1101.6</v>
      </c>
      <c r="L42" s="321">
        <f t="shared" si="14"/>
        <v>988.8</v>
      </c>
      <c r="M42" s="316">
        <f t="shared" si="14"/>
        <v>893</v>
      </c>
      <c r="N42" s="316">
        <f t="shared" si="14"/>
        <v>950</v>
      </c>
      <c r="O42" s="316">
        <f t="shared" si="14"/>
        <v>1050</v>
      </c>
      <c r="P42" s="316">
        <f t="shared" si="14"/>
        <v>1340</v>
      </c>
      <c r="Q42" s="316">
        <f t="shared" si="14"/>
        <v>551</v>
      </c>
      <c r="R42" s="317">
        <f>E42/D42*100</f>
        <v>100.03269432302963</v>
      </c>
    </row>
    <row r="43" spans="1:18" s="143" customFormat="1" ht="17.25" customHeight="1" hidden="1">
      <c r="A43" s="301" t="s">
        <v>184</v>
      </c>
      <c r="B43" s="302" t="s">
        <v>204</v>
      </c>
      <c r="C43" s="301"/>
      <c r="D43" s="309"/>
      <c r="E43" s="322"/>
      <c r="F43" s="309"/>
      <c r="G43" s="309"/>
      <c r="H43" s="309"/>
      <c r="I43" s="309"/>
      <c r="J43" s="309"/>
      <c r="K43" s="309"/>
      <c r="L43" s="309"/>
      <c r="M43" s="309"/>
      <c r="N43" s="309"/>
      <c r="O43" s="309"/>
      <c r="P43" s="309"/>
      <c r="Q43" s="309"/>
      <c r="R43" s="317"/>
    </row>
    <row r="44" spans="1:18" ht="17.25" customHeight="1" hidden="1">
      <c r="A44" s="313"/>
      <c r="B44" s="314" t="s">
        <v>200</v>
      </c>
      <c r="C44" s="313" t="s">
        <v>198</v>
      </c>
      <c r="D44" s="316">
        <v>0</v>
      </c>
      <c r="E44" s="322">
        <v>0</v>
      </c>
      <c r="F44" s="321"/>
      <c r="G44" s="321"/>
      <c r="H44" s="321"/>
      <c r="I44" s="316">
        <v>0</v>
      </c>
      <c r="J44" s="316">
        <v>0</v>
      </c>
      <c r="K44" s="316"/>
      <c r="L44" s="316"/>
      <c r="M44" s="316"/>
      <c r="N44" s="316"/>
      <c r="O44" s="316"/>
      <c r="P44" s="316"/>
      <c r="Q44" s="316">
        <v>0</v>
      </c>
      <c r="R44" s="317"/>
    </row>
    <row r="45" spans="1:18" ht="17.25" customHeight="1" hidden="1">
      <c r="A45" s="313"/>
      <c r="B45" s="314" t="s">
        <v>301</v>
      </c>
      <c r="C45" s="313" t="s">
        <v>199</v>
      </c>
      <c r="D45" s="321">
        <v>0</v>
      </c>
      <c r="E45" s="322">
        <v>0</v>
      </c>
      <c r="F45" s="321"/>
      <c r="G45" s="321"/>
      <c r="H45" s="321"/>
      <c r="I45" s="321">
        <v>0</v>
      </c>
      <c r="J45" s="321">
        <v>0</v>
      </c>
      <c r="K45" s="321"/>
      <c r="L45" s="321"/>
      <c r="M45" s="321"/>
      <c r="N45" s="321"/>
      <c r="O45" s="321"/>
      <c r="P45" s="321"/>
      <c r="Q45" s="321">
        <v>0</v>
      </c>
      <c r="R45" s="317"/>
    </row>
    <row r="46" spans="1:18" ht="17.25" customHeight="1" hidden="1">
      <c r="A46" s="313"/>
      <c r="B46" s="314" t="s">
        <v>202</v>
      </c>
      <c r="C46" s="313" t="s">
        <v>197</v>
      </c>
      <c r="D46" s="316">
        <f>D44*D45/10</f>
        <v>0</v>
      </c>
      <c r="E46" s="322">
        <v>0</v>
      </c>
      <c r="F46" s="316"/>
      <c r="G46" s="316"/>
      <c r="H46" s="316"/>
      <c r="I46" s="316">
        <f>I44*I45/10</f>
        <v>0</v>
      </c>
      <c r="J46" s="316">
        <f>J44*J45/10</f>
        <v>0</v>
      </c>
      <c r="K46" s="321"/>
      <c r="L46" s="321"/>
      <c r="M46" s="321"/>
      <c r="N46" s="321"/>
      <c r="O46" s="321"/>
      <c r="P46" s="321"/>
      <c r="Q46" s="316">
        <f>Q44*Q45/10</f>
        <v>0</v>
      </c>
      <c r="R46" s="317"/>
    </row>
    <row r="47" spans="1:18" s="54" customFormat="1" ht="17.25" customHeight="1">
      <c r="A47" s="301" t="s">
        <v>185</v>
      </c>
      <c r="B47" s="302" t="s">
        <v>409</v>
      </c>
      <c r="C47" s="301"/>
      <c r="D47" s="310"/>
      <c r="E47" s="307"/>
      <c r="F47" s="310"/>
      <c r="G47" s="310"/>
      <c r="H47" s="310"/>
      <c r="I47" s="310"/>
      <c r="J47" s="310"/>
      <c r="K47" s="309"/>
      <c r="L47" s="309"/>
      <c r="M47" s="309"/>
      <c r="N47" s="309"/>
      <c r="O47" s="309"/>
      <c r="P47" s="309"/>
      <c r="Q47" s="310"/>
      <c r="R47" s="311"/>
    </row>
    <row r="48" spans="1:18" s="143" customFormat="1" ht="17.25" customHeight="1">
      <c r="A48" s="301">
        <v>1</v>
      </c>
      <c r="B48" s="302" t="s">
        <v>206</v>
      </c>
      <c r="C48" s="301"/>
      <c r="D48" s="309"/>
      <c r="E48" s="322"/>
      <c r="F48" s="309"/>
      <c r="G48" s="309"/>
      <c r="H48" s="309"/>
      <c r="I48" s="309"/>
      <c r="J48" s="309"/>
      <c r="K48" s="309"/>
      <c r="L48" s="309"/>
      <c r="M48" s="309"/>
      <c r="N48" s="309"/>
      <c r="O48" s="309"/>
      <c r="P48" s="309"/>
      <c r="Q48" s="309"/>
      <c r="R48" s="311"/>
    </row>
    <row r="49" spans="1:18" ht="17.25" customHeight="1">
      <c r="A49" s="313"/>
      <c r="B49" s="314" t="s">
        <v>200</v>
      </c>
      <c r="C49" s="313" t="s">
        <v>198</v>
      </c>
      <c r="D49" s="316">
        <v>210</v>
      </c>
      <c r="E49" s="326">
        <f>SUM(F49:Q49)</f>
        <v>210</v>
      </c>
      <c r="F49" s="214"/>
      <c r="G49" s="214">
        <v>30</v>
      </c>
      <c r="H49" s="214"/>
      <c r="I49" s="214"/>
      <c r="J49" s="214">
        <v>30</v>
      </c>
      <c r="K49" s="214"/>
      <c r="L49" s="214"/>
      <c r="M49" s="214"/>
      <c r="N49" s="214"/>
      <c r="O49" s="214"/>
      <c r="P49" s="214"/>
      <c r="Q49" s="214">
        <v>150</v>
      </c>
      <c r="R49" s="334">
        <f>E49/D49*100</f>
        <v>100</v>
      </c>
    </row>
    <row r="50" spans="1:18" ht="17.25" customHeight="1">
      <c r="A50" s="313"/>
      <c r="B50" s="314" t="s">
        <v>201</v>
      </c>
      <c r="C50" s="313" t="s">
        <v>567</v>
      </c>
      <c r="D50" s="321">
        <v>109.5</v>
      </c>
      <c r="E50" s="326">
        <f>E51/E49*10</f>
        <v>109.71428571428572</v>
      </c>
      <c r="F50" s="214"/>
      <c r="G50" s="214">
        <v>109</v>
      </c>
      <c r="H50" s="215"/>
      <c r="I50" s="215"/>
      <c r="J50" s="214">
        <v>109</v>
      </c>
      <c r="K50" s="214"/>
      <c r="L50" s="214"/>
      <c r="M50" s="214"/>
      <c r="N50" s="214"/>
      <c r="O50" s="214"/>
      <c r="P50" s="214"/>
      <c r="Q50" s="214">
        <v>110</v>
      </c>
      <c r="R50" s="319">
        <f>E50/D50*100</f>
        <v>100.19569471624268</v>
      </c>
    </row>
    <row r="51" spans="1:18" ht="17.25" customHeight="1">
      <c r="A51" s="313"/>
      <c r="B51" s="314" t="s">
        <v>202</v>
      </c>
      <c r="C51" s="313" t="s">
        <v>197</v>
      </c>
      <c r="D51" s="321">
        <f>D49*D50/10</f>
        <v>2299.5</v>
      </c>
      <c r="E51" s="326">
        <f>SUM(F51:Q51)</f>
        <v>2304</v>
      </c>
      <c r="F51" s="215"/>
      <c r="G51" s="214">
        <f>G50*G49/10</f>
        <v>327</v>
      </c>
      <c r="H51" s="215"/>
      <c r="I51" s="215"/>
      <c r="J51" s="214">
        <f>J50*J49/10</f>
        <v>327</v>
      </c>
      <c r="K51" s="215"/>
      <c r="L51" s="215"/>
      <c r="M51" s="215"/>
      <c r="N51" s="215"/>
      <c r="O51" s="215"/>
      <c r="P51" s="215"/>
      <c r="Q51" s="214">
        <f>Q50*Q49/10</f>
        <v>1650</v>
      </c>
      <c r="R51" s="319">
        <f>E51/D51*100</f>
        <v>100.19569471624266</v>
      </c>
    </row>
    <row r="52" spans="1:18" s="143" customFormat="1" ht="17.25" customHeight="1">
      <c r="A52" s="301">
        <v>2</v>
      </c>
      <c r="B52" s="302" t="s">
        <v>207</v>
      </c>
      <c r="C52" s="301"/>
      <c r="D52" s="309"/>
      <c r="E52" s="322"/>
      <c r="F52" s="309"/>
      <c r="G52" s="309"/>
      <c r="H52" s="309"/>
      <c r="I52" s="309"/>
      <c r="J52" s="309"/>
      <c r="K52" s="309"/>
      <c r="L52" s="309"/>
      <c r="M52" s="309"/>
      <c r="N52" s="309"/>
      <c r="O52" s="309"/>
      <c r="P52" s="309"/>
      <c r="Q52" s="309"/>
      <c r="R52" s="311"/>
    </row>
    <row r="53" spans="1:18" ht="17.25" customHeight="1">
      <c r="A53" s="313"/>
      <c r="B53" s="314" t="s">
        <v>200</v>
      </c>
      <c r="C53" s="313" t="s">
        <v>198</v>
      </c>
      <c r="D53" s="316">
        <v>56</v>
      </c>
      <c r="E53" s="316">
        <f>SUM(F53:Q53)</f>
        <v>63</v>
      </c>
      <c r="F53" s="214">
        <v>10</v>
      </c>
      <c r="G53" s="215">
        <v>6.5</v>
      </c>
      <c r="H53" s="216">
        <v>3</v>
      </c>
      <c r="I53" s="216">
        <v>7</v>
      </c>
      <c r="J53" s="216">
        <v>10</v>
      </c>
      <c r="K53" s="216">
        <v>6</v>
      </c>
      <c r="L53" s="216">
        <v>3</v>
      </c>
      <c r="M53" s="216">
        <v>4</v>
      </c>
      <c r="N53" s="216">
        <v>4</v>
      </c>
      <c r="O53" s="212">
        <v>4.5</v>
      </c>
      <c r="P53" s="216"/>
      <c r="Q53" s="216">
        <v>5</v>
      </c>
      <c r="R53" s="334">
        <f>E53/D53*100</f>
        <v>112.5</v>
      </c>
    </row>
    <row r="54" spans="1:18" ht="17.25" customHeight="1">
      <c r="A54" s="313"/>
      <c r="B54" s="314" t="s">
        <v>201</v>
      </c>
      <c r="C54" s="313" t="s">
        <v>567</v>
      </c>
      <c r="D54" s="321">
        <v>84.4</v>
      </c>
      <c r="E54" s="322">
        <f>E55/E53*10</f>
        <v>84.4</v>
      </c>
      <c r="F54" s="215">
        <v>84.4</v>
      </c>
      <c r="G54" s="215">
        <v>84.4</v>
      </c>
      <c r="H54" s="215">
        <v>84.4</v>
      </c>
      <c r="I54" s="215">
        <v>84.4</v>
      </c>
      <c r="J54" s="215">
        <v>84.4</v>
      </c>
      <c r="K54" s="215">
        <v>84.4</v>
      </c>
      <c r="L54" s="215">
        <v>84.4</v>
      </c>
      <c r="M54" s="215">
        <v>84.4</v>
      </c>
      <c r="N54" s="215">
        <v>84.4</v>
      </c>
      <c r="O54" s="215">
        <v>84.4</v>
      </c>
      <c r="P54" s="215"/>
      <c r="Q54" s="215">
        <v>84.4</v>
      </c>
      <c r="R54" s="334">
        <f>E54/D54*100</f>
        <v>100</v>
      </c>
    </row>
    <row r="55" spans="1:18" ht="17.25" customHeight="1">
      <c r="A55" s="313"/>
      <c r="B55" s="314" t="s">
        <v>202</v>
      </c>
      <c r="C55" s="313" t="s">
        <v>197</v>
      </c>
      <c r="D55" s="321">
        <f>D53*D54/10</f>
        <v>472.64000000000004</v>
      </c>
      <c r="E55" s="322">
        <f>SUM(F55:Q55)</f>
        <v>531.72</v>
      </c>
      <c r="F55" s="215">
        <f>F54*F53/10</f>
        <v>84.4</v>
      </c>
      <c r="G55" s="214">
        <f aca="true" t="shared" si="15" ref="G55:Q55">G54*G53/10</f>
        <v>54.86</v>
      </c>
      <c r="H55" s="215">
        <f t="shared" si="15"/>
        <v>25.32</v>
      </c>
      <c r="I55" s="215">
        <f t="shared" si="15"/>
        <v>59.080000000000005</v>
      </c>
      <c r="J55" s="215">
        <f t="shared" si="15"/>
        <v>84.4</v>
      </c>
      <c r="K55" s="215">
        <f t="shared" si="15"/>
        <v>50.64</v>
      </c>
      <c r="L55" s="215">
        <f t="shared" si="15"/>
        <v>25.32</v>
      </c>
      <c r="M55" s="215">
        <f t="shared" si="15"/>
        <v>33.760000000000005</v>
      </c>
      <c r="N55" s="215">
        <f t="shared" si="15"/>
        <v>33.760000000000005</v>
      </c>
      <c r="O55" s="214">
        <f t="shared" si="15"/>
        <v>37.980000000000004</v>
      </c>
      <c r="P55" s="215"/>
      <c r="Q55" s="215">
        <f t="shared" si="15"/>
        <v>42.2</v>
      </c>
      <c r="R55" s="334">
        <f>E55/D55*100</f>
        <v>112.5</v>
      </c>
    </row>
    <row r="56" spans="1:18" s="143" customFormat="1" ht="17.25" customHeight="1">
      <c r="A56" s="301" t="s">
        <v>186</v>
      </c>
      <c r="B56" s="302" t="s">
        <v>205</v>
      </c>
      <c r="C56" s="301"/>
      <c r="D56" s="309"/>
      <c r="E56" s="322"/>
      <c r="F56" s="309"/>
      <c r="G56" s="309"/>
      <c r="H56" s="309"/>
      <c r="I56" s="309"/>
      <c r="J56" s="309"/>
      <c r="K56" s="309"/>
      <c r="L56" s="309"/>
      <c r="M56" s="309"/>
      <c r="N56" s="309"/>
      <c r="O56" s="309"/>
      <c r="P56" s="309"/>
      <c r="Q56" s="309"/>
      <c r="R56" s="317"/>
    </row>
    <row r="57" spans="1:18" s="143" customFormat="1" ht="17.25" customHeight="1">
      <c r="A57" s="301">
        <v>1</v>
      </c>
      <c r="B57" s="302" t="s">
        <v>568</v>
      </c>
      <c r="C57" s="301"/>
      <c r="D57" s="309"/>
      <c r="E57" s="322"/>
      <c r="F57" s="309"/>
      <c r="G57" s="309"/>
      <c r="H57" s="309"/>
      <c r="I57" s="309"/>
      <c r="J57" s="309"/>
      <c r="K57" s="309"/>
      <c r="L57" s="309"/>
      <c r="M57" s="309"/>
      <c r="N57" s="309"/>
      <c r="O57" s="309"/>
      <c r="P57" s="309"/>
      <c r="Q57" s="309"/>
      <c r="R57" s="317"/>
    </row>
    <row r="58" spans="1:18" s="143" customFormat="1" ht="17.25" customHeight="1">
      <c r="A58" s="327" t="s">
        <v>182</v>
      </c>
      <c r="B58" s="328" t="s">
        <v>342</v>
      </c>
      <c r="C58" s="301"/>
      <c r="D58" s="309"/>
      <c r="E58" s="322"/>
      <c r="F58" s="309"/>
      <c r="G58" s="309"/>
      <c r="H58" s="309"/>
      <c r="I58" s="309"/>
      <c r="J58" s="309"/>
      <c r="K58" s="309"/>
      <c r="L58" s="309"/>
      <c r="M58" s="309"/>
      <c r="N58" s="309"/>
      <c r="O58" s="309"/>
      <c r="P58" s="309"/>
      <c r="Q58" s="309"/>
      <c r="R58" s="311"/>
    </row>
    <row r="59" spans="1:18" s="237" customFormat="1" ht="17.25" customHeight="1">
      <c r="A59" s="336"/>
      <c r="B59" s="340" t="s">
        <v>200</v>
      </c>
      <c r="C59" s="336" t="s">
        <v>198</v>
      </c>
      <c r="D59" s="342">
        <f>D63+D67</f>
        <v>794</v>
      </c>
      <c r="E59" s="342">
        <f>SUM(F59:Q59)</f>
        <v>375</v>
      </c>
      <c r="F59" s="342">
        <f>F63+F67</f>
        <v>12</v>
      </c>
      <c r="G59" s="342">
        <f aca="true" t="shared" si="16" ref="G59:P59">G63+G67</f>
        <v>3</v>
      </c>
      <c r="H59" s="342">
        <f t="shared" si="16"/>
        <v>5</v>
      </c>
      <c r="I59" s="342">
        <f t="shared" si="16"/>
        <v>5</v>
      </c>
      <c r="J59" s="342">
        <f t="shared" si="16"/>
        <v>30</v>
      </c>
      <c r="K59" s="342">
        <f t="shared" si="16"/>
        <v>40</v>
      </c>
      <c r="L59" s="342">
        <f t="shared" si="16"/>
        <v>50</v>
      </c>
      <c r="M59" s="342">
        <f t="shared" si="16"/>
        <v>60</v>
      </c>
      <c r="N59" s="342">
        <f t="shared" si="16"/>
        <v>50</v>
      </c>
      <c r="O59" s="342">
        <f t="shared" si="16"/>
        <v>60</v>
      </c>
      <c r="P59" s="342">
        <f t="shared" si="16"/>
        <v>60</v>
      </c>
      <c r="Q59" s="342"/>
      <c r="R59" s="343">
        <f aca="true" t="shared" si="17" ref="R59:R69">E59/D59*100</f>
        <v>47.22921914357683</v>
      </c>
    </row>
    <row r="60" spans="1:18" s="237" customFormat="1" ht="17.25" customHeight="1">
      <c r="A60" s="336"/>
      <c r="B60" s="340" t="s">
        <v>201</v>
      </c>
      <c r="C60" s="336" t="s">
        <v>567</v>
      </c>
      <c r="D60" s="343">
        <f>D61/D59*10</f>
        <v>13.54172921914358</v>
      </c>
      <c r="E60" s="343">
        <f>E61/E59*10</f>
        <v>13.552800000000001</v>
      </c>
      <c r="F60" s="344">
        <f>F61/F59*10</f>
        <v>13.8</v>
      </c>
      <c r="G60" s="344">
        <f aca="true" t="shared" si="18" ref="G60:P60">G61/G59*10</f>
        <v>13.8</v>
      </c>
      <c r="H60" s="342">
        <f t="shared" si="18"/>
        <v>14</v>
      </c>
      <c r="I60" s="342">
        <f t="shared" si="18"/>
        <v>13.7</v>
      </c>
      <c r="J60" s="342">
        <f t="shared" si="18"/>
        <v>13.700000000000001</v>
      </c>
      <c r="K60" s="344">
        <f t="shared" si="18"/>
        <v>13.599999999999998</v>
      </c>
      <c r="L60" s="344">
        <f t="shared" si="18"/>
        <v>13.580000000000002</v>
      </c>
      <c r="M60" s="344">
        <f t="shared" si="18"/>
        <v>13.433333333333334</v>
      </c>
      <c r="N60" s="344">
        <f t="shared" si="18"/>
        <v>13.48</v>
      </c>
      <c r="O60" s="344">
        <f t="shared" si="18"/>
        <v>13.566666666666666</v>
      </c>
      <c r="P60" s="344">
        <f t="shared" si="18"/>
        <v>13.48</v>
      </c>
      <c r="Q60" s="342"/>
      <c r="R60" s="343">
        <f t="shared" si="17"/>
        <v>100.08175308099332</v>
      </c>
    </row>
    <row r="61" spans="1:18" s="237" customFormat="1" ht="17.25" customHeight="1">
      <c r="A61" s="336"/>
      <c r="B61" s="340" t="s">
        <v>202</v>
      </c>
      <c r="C61" s="336" t="s">
        <v>197</v>
      </c>
      <c r="D61" s="343">
        <f>D65+D69</f>
        <v>1075.2133000000001</v>
      </c>
      <c r="E61" s="344">
        <f>SUM(F61:Q61)</f>
        <v>508.23</v>
      </c>
      <c r="F61" s="342">
        <f>F65+F69</f>
        <v>16.560000000000002</v>
      </c>
      <c r="G61" s="342">
        <f aca="true" t="shared" si="19" ref="G61:P61">G65+G69</f>
        <v>4.140000000000001</v>
      </c>
      <c r="H61" s="342">
        <f t="shared" si="19"/>
        <v>7</v>
      </c>
      <c r="I61" s="344">
        <f t="shared" si="19"/>
        <v>6.85</v>
      </c>
      <c r="J61" s="342">
        <f t="shared" si="19"/>
        <v>41.1</v>
      </c>
      <c r="K61" s="344">
        <f t="shared" si="19"/>
        <v>54.4</v>
      </c>
      <c r="L61" s="344">
        <f t="shared" si="19"/>
        <v>67.9</v>
      </c>
      <c r="M61" s="344">
        <f t="shared" si="19"/>
        <v>80.6</v>
      </c>
      <c r="N61" s="344">
        <f t="shared" si="19"/>
        <v>67.4</v>
      </c>
      <c r="O61" s="342">
        <f t="shared" si="19"/>
        <v>81.4</v>
      </c>
      <c r="P61" s="344">
        <f t="shared" si="19"/>
        <v>80.88000000000001</v>
      </c>
      <c r="Q61" s="342"/>
      <c r="R61" s="344">
        <f t="shared" si="17"/>
        <v>47.26783048535579</v>
      </c>
    </row>
    <row r="62" spans="1:18" s="237" customFormat="1" ht="17.25" customHeight="1">
      <c r="A62" s="336" t="s">
        <v>188</v>
      </c>
      <c r="B62" s="340" t="s">
        <v>209</v>
      </c>
      <c r="C62" s="336"/>
      <c r="D62" s="344"/>
      <c r="E62" s="218"/>
      <c r="F62" s="343"/>
      <c r="G62" s="343"/>
      <c r="H62" s="343"/>
      <c r="I62" s="343"/>
      <c r="J62" s="343"/>
      <c r="K62" s="343"/>
      <c r="L62" s="343"/>
      <c r="M62" s="343"/>
      <c r="N62" s="343"/>
      <c r="O62" s="343"/>
      <c r="P62" s="343"/>
      <c r="Q62" s="343"/>
      <c r="R62" s="343"/>
    </row>
    <row r="63" spans="1:18" s="239" customFormat="1" ht="17.25" customHeight="1">
      <c r="A63" s="345"/>
      <c r="B63" s="346" t="s">
        <v>200</v>
      </c>
      <c r="C63" s="345" t="s">
        <v>198</v>
      </c>
      <c r="D63" s="219">
        <v>89</v>
      </c>
      <c r="E63" s="219">
        <f>SUM(F63:Q63)</f>
        <v>85</v>
      </c>
      <c r="F63" s="216"/>
      <c r="G63" s="216"/>
      <c r="H63" s="216"/>
      <c r="I63" s="216">
        <v>5</v>
      </c>
      <c r="J63" s="216"/>
      <c r="K63" s="216"/>
      <c r="L63" s="216">
        <v>10</v>
      </c>
      <c r="M63" s="216">
        <v>20</v>
      </c>
      <c r="N63" s="216">
        <v>10</v>
      </c>
      <c r="O63" s="216">
        <v>20</v>
      </c>
      <c r="P63" s="216">
        <v>20</v>
      </c>
      <c r="Q63" s="238"/>
      <c r="R63" s="347">
        <f t="shared" si="17"/>
        <v>95.50561797752809</v>
      </c>
    </row>
    <row r="64" spans="1:18" s="239" customFormat="1" ht="17.25" customHeight="1">
      <c r="A64" s="345"/>
      <c r="B64" s="346" t="s">
        <v>201</v>
      </c>
      <c r="C64" s="345" t="s">
        <v>567</v>
      </c>
      <c r="D64" s="218">
        <v>13.397</v>
      </c>
      <c r="E64" s="347">
        <f>E65/E63*10</f>
        <v>13.452941176470588</v>
      </c>
      <c r="F64" s="212"/>
      <c r="G64" s="216"/>
      <c r="H64" s="212"/>
      <c r="I64" s="212">
        <v>13.7</v>
      </c>
      <c r="J64" s="216"/>
      <c r="K64" s="212"/>
      <c r="L64" s="212">
        <v>13.5</v>
      </c>
      <c r="M64" s="212">
        <v>13.3</v>
      </c>
      <c r="N64" s="212">
        <v>13.4</v>
      </c>
      <c r="O64" s="212">
        <v>13.5</v>
      </c>
      <c r="P64" s="212">
        <v>13.5</v>
      </c>
      <c r="Q64" s="240"/>
      <c r="R64" s="347">
        <f t="shared" si="17"/>
        <v>100.41756495088892</v>
      </c>
    </row>
    <row r="65" spans="1:18" s="239" customFormat="1" ht="17.25" customHeight="1">
      <c r="A65" s="345"/>
      <c r="B65" s="346" t="s">
        <v>202</v>
      </c>
      <c r="C65" s="345" t="s">
        <v>197</v>
      </c>
      <c r="D65" s="218">
        <f>D63*D64/10</f>
        <v>119.23330000000001</v>
      </c>
      <c r="E65" s="347">
        <f>SUM(F65:Q65)</f>
        <v>114.35</v>
      </c>
      <c r="F65" s="212"/>
      <c r="G65" s="212"/>
      <c r="H65" s="212"/>
      <c r="I65" s="217">
        <f>I63*I64/10</f>
        <v>6.85</v>
      </c>
      <c r="J65" s="212"/>
      <c r="K65" s="217"/>
      <c r="L65" s="212">
        <f>L63*L64/10</f>
        <v>13.5</v>
      </c>
      <c r="M65" s="212">
        <f>M63*M64/10</f>
        <v>26.6</v>
      </c>
      <c r="N65" s="212">
        <f>N63*N64/10</f>
        <v>13.4</v>
      </c>
      <c r="O65" s="216">
        <f>O63*O64/10</f>
        <v>27</v>
      </c>
      <c r="P65" s="216">
        <f>P63*P64/10</f>
        <v>27</v>
      </c>
      <c r="Q65" s="240"/>
      <c r="R65" s="218">
        <f t="shared" si="17"/>
        <v>95.90441596433209</v>
      </c>
    </row>
    <row r="66" spans="1:18" s="237" customFormat="1" ht="17.25" customHeight="1">
      <c r="A66" s="336" t="s">
        <v>188</v>
      </c>
      <c r="B66" s="340" t="s">
        <v>210</v>
      </c>
      <c r="C66" s="345"/>
      <c r="D66" s="218"/>
      <c r="E66" s="218"/>
      <c r="F66" s="240"/>
      <c r="G66" s="240"/>
      <c r="H66" s="240"/>
      <c r="I66" s="240"/>
      <c r="J66" s="240"/>
      <c r="K66" s="240"/>
      <c r="L66" s="240"/>
      <c r="M66" s="240"/>
      <c r="N66" s="240"/>
      <c r="O66" s="240"/>
      <c r="P66" s="240"/>
      <c r="Q66" s="240"/>
      <c r="R66" s="343"/>
    </row>
    <row r="67" spans="1:18" s="239" customFormat="1" ht="17.25" customHeight="1">
      <c r="A67" s="336"/>
      <c r="B67" s="346" t="s">
        <v>200</v>
      </c>
      <c r="C67" s="345" t="s">
        <v>198</v>
      </c>
      <c r="D67" s="219">
        <v>705</v>
      </c>
      <c r="E67" s="479">
        <f>SUM(F67:Q67)</f>
        <v>290</v>
      </c>
      <c r="F67" s="214">
        <v>12</v>
      </c>
      <c r="G67" s="214">
        <v>3</v>
      </c>
      <c r="H67" s="216">
        <v>5</v>
      </c>
      <c r="I67" s="216"/>
      <c r="J67" s="216">
        <v>30</v>
      </c>
      <c r="K67" s="216">
        <v>40</v>
      </c>
      <c r="L67" s="216">
        <v>40</v>
      </c>
      <c r="M67" s="216">
        <v>40</v>
      </c>
      <c r="N67" s="216">
        <v>40</v>
      </c>
      <c r="O67" s="216">
        <v>40</v>
      </c>
      <c r="P67" s="216">
        <v>40</v>
      </c>
      <c r="Q67" s="238"/>
      <c r="R67" s="347">
        <f t="shared" si="17"/>
        <v>41.13475177304964</v>
      </c>
    </row>
    <row r="68" spans="1:18" s="239" customFormat="1" ht="17.25" customHeight="1">
      <c r="A68" s="336"/>
      <c r="B68" s="346" t="s">
        <v>201</v>
      </c>
      <c r="C68" s="345" t="s">
        <v>567</v>
      </c>
      <c r="D68" s="347">
        <v>13.56</v>
      </c>
      <c r="E68" s="347">
        <f>E69/E67*10</f>
        <v>13.582068965517243</v>
      </c>
      <c r="F68" s="216">
        <v>13.8</v>
      </c>
      <c r="G68" s="212">
        <v>13.8</v>
      </c>
      <c r="H68" s="216">
        <v>14</v>
      </c>
      <c r="I68" s="216"/>
      <c r="J68" s="212">
        <v>13.7</v>
      </c>
      <c r="K68" s="212">
        <v>13.6</v>
      </c>
      <c r="L68" s="212">
        <v>13.6</v>
      </c>
      <c r="M68" s="212">
        <v>13.5</v>
      </c>
      <c r="N68" s="212">
        <v>13.5</v>
      </c>
      <c r="O68" s="212">
        <v>13.6</v>
      </c>
      <c r="P68" s="217">
        <v>13.47</v>
      </c>
      <c r="Q68" s="240"/>
      <c r="R68" s="347">
        <f t="shared" si="17"/>
        <v>100.1627504831655</v>
      </c>
    </row>
    <row r="69" spans="1:18" s="239" customFormat="1" ht="17.25" customHeight="1">
      <c r="A69" s="336"/>
      <c r="B69" s="346" t="s">
        <v>202</v>
      </c>
      <c r="C69" s="345" t="s">
        <v>197</v>
      </c>
      <c r="D69" s="347">
        <f>D67*D68/10</f>
        <v>955.9800000000001</v>
      </c>
      <c r="E69" s="219">
        <f>SUM(F69:Q69)</f>
        <v>393.88</v>
      </c>
      <c r="F69" s="212">
        <f>F67*F68/10</f>
        <v>16.560000000000002</v>
      </c>
      <c r="G69" s="212">
        <f>G67*G68/10</f>
        <v>4.140000000000001</v>
      </c>
      <c r="H69" s="216">
        <f aca="true" t="shared" si="20" ref="H69:P69">H67*H68/10</f>
        <v>7</v>
      </c>
      <c r="I69" s="212"/>
      <c r="J69" s="216">
        <f t="shared" si="20"/>
        <v>41.1</v>
      </c>
      <c r="K69" s="212">
        <f t="shared" si="20"/>
        <v>54.4</v>
      </c>
      <c r="L69" s="212">
        <f t="shared" si="20"/>
        <v>54.4</v>
      </c>
      <c r="M69" s="216">
        <f t="shared" si="20"/>
        <v>54</v>
      </c>
      <c r="N69" s="216">
        <f t="shared" si="20"/>
        <v>54</v>
      </c>
      <c r="O69" s="212">
        <f t="shared" si="20"/>
        <v>54.4</v>
      </c>
      <c r="P69" s="212">
        <f t="shared" si="20"/>
        <v>53.88000000000001</v>
      </c>
      <c r="Q69" s="212"/>
      <c r="R69" s="218">
        <f t="shared" si="17"/>
        <v>41.2016987803092</v>
      </c>
    </row>
    <row r="70" spans="1:18" s="220" customFormat="1" ht="17.25" customHeight="1">
      <c r="A70" s="336" t="s">
        <v>183</v>
      </c>
      <c r="B70" s="340" t="s">
        <v>212</v>
      </c>
      <c r="C70" s="345"/>
      <c r="D70" s="348"/>
      <c r="E70" s="348"/>
      <c r="F70" s="348"/>
      <c r="G70" s="348"/>
      <c r="H70" s="348"/>
      <c r="I70" s="348"/>
      <c r="J70" s="348"/>
      <c r="K70" s="348"/>
      <c r="L70" s="348"/>
      <c r="M70" s="348"/>
      <c r="N70" s="348"/>
      <c r="O70" s="348"/>
      <c r="P70" s="348"/>
      <c r="Q70" s="348"/>
      <c r="R70" s="339"/>
    </row>
    <row r="71" spans="1:18" s="295" customFormat="1" ht="17.25" customHeight="1">
      <c r="A71" s="336"/>
      <c r="B71" s="346" t="s">
        <v>200</v>
      </c>
      <c r="C71" s="345" t="s">
        <v>198</v>
      </c>
      <c r="D71" s="349">
        <v>49.29</v>
      </c>
      <c r="E71" s="316">
        <f>SUM(F71:Q71)</f>
        <v>50</v>
      </c>
      <c r="F71" s="210">
        <v>4</v>
      </c>
      <c r="G71" s="210"/>
      <c r="H71" s="293">
        <v>2</v>
      </c>
      <c r="I71" s="294">
        <v>4.5</v>
      </c>
      <c r="J71" s="294">
        <v>2.5</v>
      </c>
      <c r="K71" s="293">
        <v>7</v>
      </c>
      <c r="L71" s="293">
        <v>5</v>
      </c>
      <c r="M71" s="293">
        <v>2</v>
      </c>
      <c r="N71" s="293">
        <v>4</v>
      </c>
      <c r="O71" s="293">
        <v>9</v>
      </c>
      <c r="P71" s="293">
        <v>8</v>
      </c>
      <c r="Q71" s="293">
        <v>2</v>
      </c>
      <c r="R71" s="349">
        <f>E71/D71*100</f>
        <v>101.44045445323596</v>
      </c>
    </row>
    <row r="72" spans="1:18" ht="17.25" customHeight="1">
      <c r="A72" s="301"/>
      <c r="B72" s="314" t="s">
        <v>201</v>
      </c>
      <c r="C72" s="313" t="s">
        <v>567</v>
      </c>
      <c r="D72" s="315">
        <v>11.426</v>
      </c>
      <c r="E72" s="332">
        <f>E73/E71*10</f>
        <v>11.414</v>
      </c>
      <c r="F72" s="211">
        <v>11.6</v>
      </c>
      <c r="G72" s="211"/>
      <c r="H72" s="211">
        <v>11.6</v>
      </c>
      <c r="I72" s="211">
        <v>11.6</v>
      </c>
      <c r="J72" s="211">
        <v>11.4</v>
      </c>
      <c r="K72" s="211">
        <v>11.5</v>
      </c>
      <c r="L72" s="211">
        <v>11.3</v>
      </c>
      <c r="M72" s="211">
        <v>11.3</v>
      </c>
      <c r="N72" s="211">
        <v>11.3</v>
      </c>
      <c r="O72" s="211">
        <v>11.4</v>
      </c>
      <c r="P72" s="211">
        <v>11.3</v>
      </c>
      <c r="Q72" s="211">
        <v>11.3</v>
      </c>
      <c r="R72" s="317">
        <f>E72/D72*100</f>
        <v>99.89497636968318</v>
      </c>
    </row>
    <row r="73" spans="1:18" ht="17.25" customHeight="1">
      <c r="A73" s="301"/>
      <c r="B73" s="314" t="s">
        <v>202</v>
      </c>
      <c r="C73" s="313" t="s">
        <v>197</v>
      </c>
      <c r="D73" s="315">
        <f>D71*D72/10</f>
        <v>56.318754</v>
      </c>
      <c r="E73" s="322">
        <f>SUM(F73:Q73)</f>
        <v>57.06999999999999</v>
      </c>
      <c r="F73" s="211">
        <f>F71*F72/10</f>
        <v>4.64</v>
      </c>
      <c r="G73" s="211"/>
      <c r="H73" s="211">
        <f>H71*H72/10</f>
        <v>2.32</v>
      </c>
      <c r="I73" s="211">
        <f>I71*I72/10</f>
        <v>5.22</v>
      </c>
      <c r="J73" s="211">
        <f aca="true" t="shared" si="21" ref="J73:Q73">J71*J72/10</f>
        <v>2.85</v>
      </c>
      <c r="K73" s="211">
        <f t="shared" si="21"/>
        <v>8.05</v>
      </c>
      <c r="L73" s="211">
        <f t="shared" si="21"/>
        <v>5.65</v>
      </c>
      <c r="M73" s="211">
        <f t="shared" si="21"/>
        <v>2.2600000000000002</v>
      </c>
      <c r="N73" s="211">
        <f t="shared" si="21"/>
        <v>4.5200000000000005</v>
      </c>
      <c r="O73" s="211">
        <f t="shared" si="21"/>
        <v>10.260000000000002</v>
      </c>
      <c r="P73" s="210">
        <f t="shared" si="21"/>
        <v>9.040000000000001</v>
      </c>
      <c r="Q73" s="211">
        <f t="shared" si="21"/>
        <v>2.2600000000000002</v>
      </c>
      <c r="R73" s="317">
        <f>E73/D73*100</f>
        <v>101.33391800535927</v>
      </c>
    </row>
    <row r="74" spans="1:18" s="143" customFormat="1" ht="17.25" customHeight="1">
      <c r="A74" s="301" t="s">
        <v>184</v>
      </c>
      <c r="B74" s="302" t="s">
        <v>211</v>
      </c>
      <c r="C74" s="313"/>
      <c r="D74" s="321"/>
      <c r="E74" s="322"/>
      <c r="F74" s="321"/>
      <c r="G74" s="321"/>
      <c r="H74" s="321"/>
      <c r="I74" s="321"/>
      <c r="J74" s="321"/>
      <c r="K74" s="321"/>
      <c r="L74" s="321"/>
      <c r="M74" s="321"/>
      <c r="N74" s="321"/>
      <c r="O74" s="321"/>
      <c r="P74" s="321"/>
      <c r="Q74" s="321"/>
      <c r="R74" s="311"/>
    </row>
    <row r="75" spans="1:18" ht="17.25" customHeight="1">
      <c r="A75" s="301"/>
      <c r="B75" s="314" t="s">
        <v>200</v>
      </c>
      <c r="C75" s="313" t="s">
        <v>198</v>
      </c>
      <c r="D75" s="316">
        <v>22</v>
      </c>
      <c r="E75" s="326">
        <f>SUM(F75:Q75)</f>
        <v>22</v>
      </c>
      <c r="F75" s="321"/>
      <c r="G75" s="321"/>
      <c r="H75" s="321"/>
      <c r="I75" s="321"/>
      <c r="J75" s="316">
        <v>4</v>
      </c>
      <c r="K75" s="321"/>
      <c r="L75" s="321"/>
      <c r="M75" s="321"/>
      <c r="N75" s="321"/>
      <c r="O75" s="321"/>
      <c r="P75" s="321"/>
      <c r="Q75" s="316">
        <v>18</v>
      </c>
      <c r="R75" s="334">
        <f>E75/D75*100</f>
        <v>100</v>
      </c>
    </row>
    <row r="76" spans="1:18" ht="17.25" customHeight="1">
      <c r="A76" s="301"/>
      <c r="B76" s="314" t="s">
        <v>201</v>
      </c>
      <c r="C76" s="313" t="s">
        <v>199</v>
      </c>
      <c r="D76" s="321">
        <v>3.75</v>
      </c>
      <c r="E76" s="326">
        <f>SUM(F76:Q76)/2</f>
        <v>4</v>
      </c>
      <c r="F76" s="321"/>
      <c r="G76" s="321"/>
      <c r="H76" s="321"/>
      <c r="I76" s="321"/>
      <c r="J76" s="316">
        <v>4</v>
      </c>
      <c r="K76" s="321"/>
      <c r="L76" s="321"/>
      <c r="M76" s="321"/>
      <c r="N76" s="321"/>
      <c r="O76" s="321"/>
      <c r="P76" s="321"/>
      <c r="Q76" s="316">
        <v>4</v>
      </c>
      <c r="R76" s="317">
        <f>E76/D76*100</f>
        <v>106.66666666666667</v>
      </c>
    </row>
    <row r="77" spans="1:18" ht="17.25" customHeight="1">
      <c r="A77" s="301"/>
      <c r="B77" s="314" t="s">
        <v>202</v>
      </c>
      <c r="C77" s="313" t="s">
        <v>197</v>
      </c>
      <c r="D77" s="315">
        <f>D75*D76/10</f>
        <v>8.25</v>
      </c>
      <c r="E77" s="322">
        <f>SUM(F77:Q77)</f>
        <v>8.8</v>
      </c>
      <c r="F77" s="321"/>
      <c r="G77" s="321"/>
      <c r="H77" s="321"/>
      <c r="I77" s="321"/>
      <c r="J77" s="321">
        <f>J75*J76/10</f>
        <v>1.6</v>
      </c>
      <c r="K77" s="321"/>
      <c r="L77" s="321"/>
      <c r="M77" s="321"/>
      <c r="N77" s="321"/>
      <c r="O77" s="321"/>
      <c r="P77" s="321"/>
      <c r="Q77" s="321">
        <f>Q75*Q76/10</f>
        <v>7.2</v>
      </c>
      <c r="R77" s="317">
        <f>E77/D77*100</f>
        <v>106.66666666666667</v>
      </c>
    </row>
    <row r="78" spans="1:18" s="143" customFormat="1" ht="17.25" customHeight="1" hidden="1">
      <c r="A78" s="301" t="s">
        <v>188</v>
      </c>
      <c r="B78" s="302" t="s">
        <v>208</v>
      </c>
      <c r="C78" s="301"/>
      <c r="D78" s="309"/>
      <c r="E78" s="322">
        <f>SUM(F78:Q78)</f>
        <v>0</v>
      </c>
      <c r="F78" s="309"/>
      <c r="G78" s="309"/>
      <c r="H78" s="309"/>
      <c r="I78" s="309"/>
      <c r="J78" s="309"/>
      <c r="K78" s="309"/>
      <c r="L78" s="309"/>
      <c r="M78" s="309"/>
      <c r="N78" s="309"/>
      <c r="O78" s="309"/>
      <c r="P78" s="309"/>
      <c r="Q78" s="309"/>
      <c r="R78" s="311" t="e">
        <f aca="true" t="shared" si="22" ref="R78:R115">E78/D78*100</f>
        <v>#DIV/0!</v>
      </c>
    </row>
    <row r="79" spans="1:18" ht="17.25" customHeight="1" hidden="1">
      <c r="A79" s="313"/>
      <c r="B79" s="314" t="s">
        <v>200</v>
      </c>
      <c r="C79" s="313" t="s">
        <v>198</v>
      </c>
      <c r="D79" s="321"/>
      <c r="E79" s="322">
        <f>SUM(F79:Q79)</f>
        <v>0</v>
      </c>
      <c r="F79" s="321"/>
      <c r="G79" s="321"/>
      <c r="H79" s="321"/>
      <c r="I79" s="321"/>
      <c r="J79" s="321"/>
      <c r="K79" s="321"/>
      <c r="L79" s="321"/>
      <c r="M79" s="321"/>
      <c r="N79" s="321"/>
      <c r="O79" s="321"/>
      <c r="P79" s="321"/>
      <c r="Q79" s="321"/>
      <c r="R79" s="311" t="e">
        <f t="shared" si="22"/>
        <v>#DIV/0!</v>
      </c>
    </row>
    <row r="80" spans="1:18" ht="17.25" customHeight="1" hidden="1">
      <c r="A80" s="313"/>
      <c r="B80" s="314" t="s">
        <v>201</v>
      </c>
      <c r="C80" s="313" t="s">
        <v>199</v>
      </c>
      <c r="D80" s="321"/>
      <c r="E80" s="322">
        <f>SUM(F80:Q80)</f>
        <v>0</v>
      </c>
      <c r="F80" s="321"/>
      <c r="G80" s="321"/>
      <c r="H80" s="321"/>
      <c r="I80" s="321"/>
      <c r="J80" s="321"/>
      <c r="K80" s="321"/>
      <c r="L80" s="321"/>
      <c r="M80" s="321"/>
      <c r="N80" s="321"/>
      <c r="O80" s="321"/>
      <c r="P80" s="321"/>
      <c r="Q80" s="321"/>
      <c r="R80" s="311" t="e">
        <f t="shared" si="22"/>
        <v>#DIV/0!</v>
      </c>
    </row>
    <row r="81" spans="1:18" ht="17.25" customHeight="1" hidden="1">
      <c r="A81" s="313"/>
      <c r="B81" s="314" t="s">
        <v>202</v>
      </c>
      <c r="C81" s="313" t="s">
        <v>197</v>
      </c>
      <c r="D81" s="321"/>
      <c r="E81" s="322">
        <f>SUM(F81:Q81)</f>
        <v>0</v>
      </c>
      <c r="F81" s="321"/>
      <c r="G81" s="321"/>
      <c r="H81" s="321"/>
      <c r="I81" s="321"/>
      <c r="J81" s="321"/>
      <c r="K81" s="321"/>
      <c r="L81" s="321"/>
      <c r="M81" s="321"/>
      <c r="N81" s="321"/>
      <c r="O81" s="321"/>
      <c r="P81" s="321"/>
      <c r="Q81" s="321"/>
      <c r="R81" s="311" t="e">
        <f t="shared" si="22"/>
        <v>#DIV/0!</v>
      </c>
    </row>
    <row r="82" spans="1:18" ht="17.25" customHeight="1">
      <c r="A82" s="301">
        <v>2</v>
      </c>
      <c r="B82" s="302" t="s">
        <v>569</v>
      </c>
      <c r="C82" s="301"/>
      <c r="D82" s="321"/>
      <c r="E82" s="322"/>
      <c r="F82" s="321"/>
      <c r="G82" s="321"/>
      <c r="H82" s="321"/>
      <c r="I82" s="321"/>
      <c r="J82" s="321"/>
      <c r="K82" s="321"/>
      <c r="L82" s="321"/>
      <c r="M82" s="321"/>
      <c r="N82" s="321"/>
      <c r="O82" s="321"/>
      <c r="P82" s="321"/>
      <c r="Q82" s="321"/>
      <c r="R82" s="311"/>
    </row>
    <row r="83" spans="1:18" s="143" customFormat="1" ht="17.25" customHeight="1">
      <c r="A83" s="301" t="s">
        <v>188</v>
      </c>
      <c r="B83" s="302" t="s">
        <v>571</v>
      </c>
      <c r="C83" s="301"/>
      <c r="D83" s="309"/>
      <c r="E83" s="322"/>
      <c r="F83" s="309"/>
      <c r="G83" s="309"/>
      <c r="H83" s="309"/>
      <c r="I83" s="309"/>
      <c r="J83" s="309"/>
      <c r="K83" s="309"/>
      <c r="L83" s="309"/>
      <c r="M83" s="309"/>
      <c r="N83" s="309"/>
      <c r="O83" s="309"/>
      <c r="P83" s="309"/>
      <c r="Q83" s="309"/>
      <c r="R83" s="311"/>
    </row>
    <row r="84" spans="1:18" s="145" customFormat="1" ht="17.25" customHeight="1">
      <c r="A84" s="345"/>
      <c r="B84" s="346" t="s">
        <v>200</v>
      </c>
      <c r="C84" s="345" t="s">
        <v>198</v>
      </c>
      <c r="D84" s="332">
        <v>595.89</v>
      </c>
      <c r="E84" s="332">
        <f>D84</f>
        <v>595.89</v>
      </c>
      <c r="F84" s="322"/>
      <c r="G84" s="322"/>
      <c r="H84" s="322"/>
      <c r="I84" s="322"/>
      <c r="J84" s="322"/>
      <c r="K84" s="322"/>
      <c r="L84" s="322"/>
      <c r="M84" s="322"/>
      <c r="N84" s="322"/>
      <c r="O84" s="322"/>
      <c r="P84" s="322"/>
      <c r="Q84" s="322"/>
      <c r="R84" s="334">
        <f t="shared" si="22"/>
        <v>100</v>
      </c>
    </row>
    <row r="85" spans="1:18" ht="17.25" customHeight="1">
      <c r="A85" s="313"/>
      <c r="B85" s="314" t="s">
        <v>213</v>
      </c>
      <c r="C85" s="313" t="s">
        <v>197</v>
      </c>
      <c r="D85" s="315">
        <v>72.94</v>
      </c>
      <c r="E85" s="326">
        <v>73</v>
      </c>
      <c r="F85" s="321"/>
      <c r="G85" s="480"/>
      <c r="H85" s="321"/>
      <c r="I85" s="321"/>
      <c r="J85" s="321"/>
      <c r="K85" s="321"/>
      <c r="L85" s="321"/>
      <c r="M85" s="321"/>
      <c r="N85" s="321"/>
      <c r="O85" s="321"/>
      <c r="P85" s="321"/>
      <c r="Q85" s="321"/>
      <c r="R85" s="317">
        <f t="shared" si="22"/>
        <v>100.0822593912805</v>
      </c>
    </row>
    <row r="86" spans="1:18" ht="17.25" customHeight="1">
      <c r="A86" s="313"/>
      <c r="B86" s="314" t="s">
        <v>410</v>
      </c>
      <c r="C86" s="313" t="s">
        <v>197</v>
      </c>
      <c r="D86" s="315">
        <f>D85/6</f>
        <v>12.156666666666666</v>
      </c>
      <c r="E86" s="332">
        <f>E85/6</f>
        <v>12.166666666666666</v>
      </c>
      <c r="F86" s="321"/>
      <c r="G86" s="480"/>
      <c r="H86" s="321"/>
      <c r="I86" s="321"/>
      <c r="J86" s="321"/>
      <c r="K86" s="321"/>
      <c r="L86" s="321"/>
      <c r="M86" s="321"/>
      <c r="N86" s="321"/>
      <c r="O86" s="321"/>
      <c r="P86" s="321"/>
      <c r="Q86" s="321"/>
      <c r="R86" s="317">
        <f t="shared" si="22"/>
        <v>100.0822593912805</v>
      </c>
    </row>
    <row r="87" spans="1:18" s="142" customFormat="1" ht="17.25" customHeight="1">
      <c r="A87" s="345"/>
      <c r="B87" s="346" t="s">
        <v>580</v>
      </c>
      <c r="C87" s="345" t="s">
        <v>198</v>
      </c>
      <c r="D87" s="322">
        <v>54.5</v>
      </c>
      <c r="E87" s="326">
        <v>26</v>
      </c>
      <c r="F87" s="322"/>
      <c r="G87" s="481"/>
      <c r="H87" s="322"/>
      <c r="I87" s="322"/>
      <c r="J87" s="322"/>
      <c r="K87" s="322"/>
      <c r="L87" s="322"/>
      <c r="M87" s="322"/>
      <c r="N87" s="322"/>
      <c r="O87" s="322"/>
      <c r="P87" s="322"/>
      <c r="Q87" s="322"/>
      <c r="R87" s="317">
        <f t="shared" si="22"/>
        <v>47.706422018348626</v>
      </c>
    </row>
    <row r="88" spans="1:18" s="144" customFormat="1" ht="17.25" customHeight="1">
      <c r="A88" s="350" t="s">
        <v>187</v>
      </c>
      <c r="B88" s="351" t="s">
        <v>341</v>
      </c>
      <c r="C88" s="350" t="s">
        <v>198</v>
      </c>
      <c r="D88" s="352"/>
      <c r="E88" s="353">
        <v>40</v>
      </c>
      <c r="F88" s="354"/>
      <c r="G88" s="354"/>
      <c r="H88" s="354"/>
      <c r="I88" s="354"/>
      <c r="J88" s="354"/>
      <c r="K88" s="354"/>
      <c r="L88" s="354"/>
      <c r="M88" s="354"/>
      <c r="N88" s="354"/>
      <c r="O88" s="354"/>
      <c r="P88" s="354"/>
      <c r="Q88" s="316"/>
      <c r="R88" s="355"/>
    </row>
    <row r="89" spans="1:18" ht="17.25" customHeight="1">
      <c r="A89" s="301" t="s">
        <v>144</v>
      </c>
      <c r="B89" s="302" t="s">
        <v>214</v>
      </c>
      <c r="C89" s="301" t="s">
        <v>216</v>
      </c>
      <c r="D89" s="323">
        <f>SUM(D90:D95)</f>
        <v>330803</v>
      </c>
      <c r="E89" s="323">
        <f>SUM(E90:E95)</f>
        <v>346756</v>
      </c>
      <c r="F89" s="323">
        <f aca="true" t="shared" si="23" ref="F89:Q89">SUM(F90:F94)</f>
        <v>23789</v>
      </c>
      <c r="G89" s="323">
        <f t="shared" si="23"/>
        <v>24634</v>
      </c>
      <c r="H89" s="323">
        <f t="shared" si="23"/>
        <v>40297</v>
      </c>
      <c r="I89" s="323">
        <f t="shared" si="23"/>
        <v>32144</v>
      </c>
      <c r="J89" s="323">
        <f t="shared" si="23"/>
        <v>32834</v>
      </c>
      <c r="K89" s="323">
        <f t="shared" si="23"/>
        <v>42175</v>
      </c>
      <c r="L89" s="323">
        <f t="shared" si="23"/>
        <v>28598</v>
      </c>
      <c r="M89" s="323">
        <f t="shared" si="23"/>
        <v>30678</v>
      </c>
      <c r="N89" s="323">
        <f t="shared" si="23"/>
        <v>17444</v>
      </c>
      <c r="O89" s="323">
        <f t="shared" si="23"/>
        <v>28006</v>
      </c>
      <c r="P89" s="323">
        <f t="shared" si="23"/>
        <v>27089</v>
      </c>
      <c r="Q89" s="323">
        <f t="shared" si="23"/>
        <v>18485</v>
      </c>
      <c r="R89" s="311">
        <f t="shared" si="22"/>
        <v>104.82250765561376</v>
      </c>
    </row>
    <row r="90" spans="1:18" ht="17.25" customHeight="1">
      <c r="A90" s="313">
        <v>1</v>
      </c>
      <c r="B90" s="314" t="s">
        <v>215</v>
      </c>
      <c r="C90" s="313" t="s">
        <v>216</v>
      </c>
      <c r="D90" s="316">
        <v>13493</v>
      </c>
      <c r="E90" s="326">
        <f aca="true" t="shared" si="24" ref="E90:E95">SUM(F90:Q90)</f>
        <v>13932</v>
      </c>
      <c r="F90" s="223">
        <f>115+578</f>
        <v>693</v>
      </c>
      <c r="G90" s="224">
        <f>2297-578</f>
        <v>1719</v>
      </c>
      <c r="H90" s="224">
        <v>1607</v>
      </c>
      <c r="I90" s="224">
        <v>872</v>
      </c>
      <c r="J90" s="224">
        <v>1689</v>
      </c>
      <c r="K90" s="224">
        <v>1612</v>
      </c>
      <c r="L90" s="224">
        <v>1135</v>
      </c>
      <c r="M90" s="224">
        <v>1131</v>
      </c>
      <c r="N90" s="224">
        <v>599</v>
      </c>
      <c r="O90" s="224">
        <v>844</v>
      </c>
      <c r="P90" s="224">
        <v>1217</v>
      </c>
      <c r="Q90" s="224">
        <v>814</v>
      </c>
      <c r="R90" s="317">
        <f t="shared" si="22"/>
        <v>103.2535388720077</v>
      </c>
    </row>
    <row r="91" spans="1:18" ht="17.25" customHeight="1">
      <c r="A91" s="313">
        <v>2</v>
      </c>
      <c r="B91" s="314" t="s">
        <v>217</v>
      </c>
      <c r="C91" s="313" t="s">
        <v>216</v>
      </c>
      <c r="D91" s="316">
        <v>2783</v>
      </c>
      <c r="E91" s="326">
        <f t="shared" si="24"/>
        <v>3018</v>
      </c>
      <c r="F91" s="223">
        <f>128+91</f>
        <v>219</v>
      </c>
      <c r="G91" s="224">
        <f>522-91</f>
        <v>431</v>
      </c>
      <c r="H91" s="224">
        <v>412</v>
      </c>
      <c r="I91" s="224">
        <v>120</v>
      </c>
      <c r="J91" s="224">
        <v>162</v>
      </c>
      <c r="K91" s="224">
        <v>359</v>
      </c>
      <c r="L91" s="224">
        <v>170</v>
      </c>
      <c r="M91" s="224">
        <v>159</v>
      </c>
      <c r="N91" s="224">
        <v>200</v>
      </c>
      <c r="O91" s="224">
        <v>296</v>
      </c>
      <c r="P91" s="224">
        <v>305</v>
      </c>
      <c r="Q91" s="224">
        <v>185</v>
      </c>
      <c r="R91" s="317">
        <f t="shared" si="22"/>
        <v>108.44412504491557</v>
      </c>
    </row>
    <row r="92" spans="1:18" ht="17.25" customHeight="1">
      <c r="A92" s="313">
        <v>3</v>
      </c>
      <c r="B92" s="314" t="s">
        <v>218</v>
      </c>
      <c r="C92" s="313" t="s">
        <v>216</v>
      </c>
      <c r="D92" s="316">
        <v>46246</v>
      </c>
      <c r="E92" s="326">
        <f t="shared" si="24"/>
        <v>49020</v>
      </c>
      <c r="F92" s="224">
        <f>257+558</f>
        <v>815</v>
      </c>
      <c r="G92" s="224">
        <f>6929-558</f>
        <v>6371</v>
      </c>
      <c r="H92" s="224">
        <v>4843</v>
      </c>
      <c r="I92" s="224">
        <v>856</v>
      </c>
      <c r="J92" s="224">
        <v>3844</v>
      </c>
      <c r="K92" s="224">
        <v>6769</v>
      </c>
      <c r="L92" s="224">
        <v>5230</v>
      </c>
      <c r="M92" s="224">
        <v>4568</v>
      </c>
      <c r="N92" s="224">
        <v>3274</v>
      </c>
      <c r="O92" s="224">
        <v>4129</v>
      </c>
      <c r="P92" s="224">
        <v>4191</v>
      </c>
      <c r="Q92" s="224">
        <v>4130</v>
      </c>
      <c r="R92" s="334">
        <f t="shared" si="22"/>
        <v>105.99835661462613</v>
      </c>
    </row>
    <row r="93" spans="1:18" s="143" customFormat="1" ht="17.25" customHeight="1">
      <c r="A93" s="313">
        <v>4</v>
      </c>
      <c r="B93" s="314" t="s">
        <v>219</v>
      </c>
      <c r="C93" s="313" t="s">
        <v>216</v>
      </c>
      <c r="D93" s="316">
        <v>19860</v>
      </c>
      <c r="E93" s="326">
        <f t="shared" si="24"/>
        <v>20555</v>
      </c>
      <c r="F93" s="224">
        <f>104+155</f>
        <v>259</v>
      </c>
      <c r="G93" s="224">
        <f>2650-155</f>
        <v>2495</v>
      </c>
      <c r="H93" s="224">
        <v>2293</v>
      </c>
      <c r="I93" s="224">
        <v>807</v>
      </c>
      <c r="J93" s="224">
        <v>1813</v>
      </c>
      <c r="K93" s="224">
        <v>2901</v>
      </c>
      <c r="L93" s="224">
        <v>1701</v>
      </c>
      <c r="M93" s="224">
        <v>2110</v>
      </c>
      <c r="N93" s="224">
        <v>1842</v>
      </c>
      <c r="O93" s="224">
        <v>1422</v>
      </c>
      <c r="P93" s="224">
        <v>1432</v>
      </c>
      <c r="Q93" s="224">
        <v>1480</v>
      </c>
      <c r="R93" s="319">
        <f t="shared" si="22"/>
        <v>103.4994964753273</v>
      </c>
    </row>
    <row r="94" spans="1:18" s="143" customFormat="1" ht="17.25" customHeight="1">
      <c r="A94" s="313">
        <v>5</v>
      </c>
      <c r="B94" s="314" t="s">
        <v>335</v>
      </c>
      <c r="C94" s="313" t="s">
        <v>216</v>
      </c>
      <c r="D94" s="316">
        <v>247821</v>
      </c>
      <c r="E94" s="326">
        <f t="shared" si="24"/>
        <v>259648</v>
      </c>
      <c r="F94" s="224">
        <f>4551+17252</f>
        <v>21803</v>
      </c>
      <c r="G94" s="224">
        <f>30870-17252</f>
        <v>13618</v>
      </c>
      <c r="H94" s="224">
        <v>31142</v>
      </c>
      <c r="I94" s="224">
        <v>29489</v>
      </c>
      <c r="J94" s="224">
        <v>25326</v>
      </c>
      <c r="K94" s="224">
        <v>30534</v>
      </c>
      <c r="L94" s="224">
        <v>20362</v>
      </c>
      <c r="M94" s="224">
        <v>22710</v>
      </c>
      <c r="N94" s="224">
        <v>11529</v>
      </c>
      <c r="O94" s="224">
        <v>21315</v>
      </c>
      <c r="P94" s="224">
        <v>19944</v>
      </c>
      <c r="Q94" s="224">
        <v>11876</v>
      </c>
      <c r="R94" s="317">
        <f t="shared" si="22"/>
        <v>104.7723962053256</v>
      </c>
    </row>
    <row r="95" spans="1:18" s="143" customFormat="1" ht="17.25" customHeight="1">
      <c r="A95" s="313">
        <v>6</v>
      </c>
      <c r="B95" s="314" t="s">
        <v>411</v>
      </c>
      <c r="C95" s="313" t="s">
        <v>216</v>
      </c>
      <c r="D95" s="316">
        <v>600</v>
      </c>
      <c r="E95" s="326">
        <f t="shared" si="24"/>
        <v>583</v>
      </c>
      <c r="F95" s="224">
        <v>28</v>
      </c>
      <c r="G95" s="224">
        <f>57-25</f>
        <v>32</v>
      </c>
      <c r="H95" s="224">
        <v>61</v>
      </c>
      <c r="I95" s="224"/>
      <c r="J95" s="224">
        <v>15</v>
      </c>
      <c r="K95" s="224">
        <v>160</v>
      </c>
      <c r="L95" s="224"/>
      <c r="M95" s="224">
        <v>186</v>
      </c>
      <c r="N95" s="224">
        <v>14</v>
      </c>
      <c r="O95" s="224">
        <v>31</v>
      </c>
      <c r="P95" s="224">
        <v>46</v>
      </c>
      <c r="Q95" s="224">
        <v>10</v>
      </c>
      <c r="R95" s="317">
        <f t="shared" si="22"/>
        <v>97.16666666666667</v>
      </c>
    </row>
    <row r="96" spans="1:18" s="143" customFormat="1" ht="17.25" customHeight="1">
      <c r="A96" s="301" t="s">
        <v>146</v>
      </c>
      <c r="B96" s="302" t="s">
        <v>723</v>
      </c>
      <c r="C96" s="356"/>
      <c r="D96" s="309"/>
      <c r="E96" s="357"/>
      <c r="F96" s="358"/>
      <c r="G96" s="358"/>
      <c r="H96" s="358"/>
      <c r="I96" s="358"/>
      <c r="J96" s="358"/>
      <c r="K96" s="358"/>
      <c r="L96" s="358"/>
      <c r="M96" s="358"/>
      <c r="N96" s="358"/>
      <c r="O96" s="358"/>
      <c r="P96" s="358"/>
      <c r="Q96" s="358"/>
      <c r="R96" s="311"/>
    </row>
    <row r="97" spans="1:18" ht="17.25" customHeight="1">
      <c r="A97" s="313">
        <v>1</v>
      </c>
      <c r="B97" s="314" t="s">
        <v>220</v>
      </c>
      <c r="C97" s="313" t="s">
        <v>198</v>
      </c>
      <c r="D97" s="359">
        <v>65</v>
      </c>
      <c r="E97" s="316">
        <f>SUM(F97:Q97)</f>
        <v>70</v>
      </c>
      <c r="F97" s="222">
        <f>4+8.6</f>
        <v>12.6</v>
      </c>
      <c r="G97" s="222">
        <v>6.4</v>
      </c>
      <c r="H97" s="225">
        <v>13.28</v>
      </c>
      <c r="I97" s="225">
        <v>15.99</v>
      </c>
      <c r="J97" s="221">
        <v>12</v>
      </c>
      <c r="K97" s="221">
        <v>3</v>
      </c>
      <c r="L97" s="222">
        <v>1.2</v>
      </c>
      <c r="M97" s="222">
        <v>1.5</v>
      </c>
      <c r="N97" s="226"/>
      <c r="O97" s="225">
        <v>1.03</v>
      </c>
      <c r="P97" s="221">
        <v>1</v>
      </c>
      <c r="Q97" s="221">
        <v>2</v>
      </c>
      <c r="R97" s="317">
        <f t="shared" si="22"/>
        <v>107.6923076923077</v>
      </c>
    </row>
    <row r="98" spans="1:18" ht="17.25" customHeight="1">
      <c r="A98" s="313">
        <v>2</v>
      </c>
      <c r="B98" s="314" t="s">
        <v>344</v>
      </c>
      <c r="C98" s="313" t="s">
        <v>197</v>
      </c>
      <c r="D98" s="360">
        <f>D99+D100</f>
        <v>130.5</v>
      </c>
      <c r="E98" s="322">
        <f>E99+E100</f>
        <v>159.5</v>
      </c>
      <c r="F98" s="321"/>
      <c r="G98" s="361"/>
      <c r="H98" s="321"/>
      <c r="I98" s="321"/>
      <c r="J98" s="321"/>
      <c r="K98" s="321"/>
      <c r="L98" s="321"/>
      <c r="M98" s="321"/>
      <c r="N98" s="321"/>
      <c r="O98" s="321"/>
      <c r="P98" s="321"/>
      <c r="Q98" s="321"/>
      <c r="R98" s="317">
        <f t="shared" si="22"/>
        <v>122.22222222222223</v>
      </c>
    </row>
    <row r="99" spans="1:18" ht="17.25" customHeight="1">
      <c r="A99" s="313"/>
      <c r="B99" s="314" t="s">
        <v>221</v>
      </c>
      <c r="C99" s="313" t="s">
        <v>197</v>
      </c>
      <c r="D99" s="360">
        <v>58.5</v>
      </c>
      <c r="E99" s="322">
        <v>87.5</v>
      </c>
      <c r="F99" s="362"/>
      <c r="G99" s="362"/>
      <c r="H99" s="362"/>
      <c r="I99" s="362"/>
      <c r="J99" s="362"/>
      <c r="K99" s="362"/>
      <c r="L99" s="362"/>
      <c r="M99" s="362"/>
      <c r="N99" s="362"/>
      <c r="O99" s="362"/>
      <c r="P99" s="362"/>
      <c r="Q99" s="362"/>
      <c r="R99" s="317">
        <f t="shared" si="22"/>
        <v>149.57264957264957</v>
      </c>
    </row>
    <row r="100" spans="1:18" s="143" customFormat="1" ht="17.25" customHeight="1">
      <c r="A100" s="313"/>
      <c r="B100" s="314" t="s">
        <v>222</v>
      </c>
      <c r="C100" s="313" t="s">
        <v>197</v>
      </c>
      <c r="D100" s="359">
        <v>72</v>
      </c>
      <c r="E100" s="326">
        <v>72</v>
      </c>
      <c r="F100" s="358"/>
      <c r="G100" s="358"/>
      <c r="H100" s="358"/>
      <c r="I100" s="358"/>
      <c r="J100" s="358"/>
      <c r="K100" s="358"/>
      <c r="L100" s="358"/>
      <c r="M100" s="358"/>
      <c r="N100" s="358"/>
      <c r="O100" s="358"/>
      <c r="P100" s="358"/>
      <c r="Q100" s="358"/>
      <c r="R100" s="334">
        <f t="shared" si="22"/>
        <v>100</v>
      </c>
    </row>
    <row r="101" spans="1:18" s="143" customFormat="1" ht="17.25" customHeight="1">
      <c r="A101" s="301" t="s">
        <v>412</v>
      </c>
      <c r="B101" s="302" t="s">
        <v>223</v>
      </c>
      <c r="C101" s="301"/>
      <c r="D101" s="309"/>
      <c r="E101" s="322"/>
      <c r="F101" s="309"/>
      <c r="G101" s="309"/>
      <c r="H101" s="309"/>
      <c r="I101" s="309"/>
      <c r="J101" s="309"/>
      <c r="K101" s="309"/>
      <c r="L101" s="309"/>
      <c r="M101" s="309"/>
      <c r="N101" s="309"/>
      <c r="O101" s="309"/>
      <c r="P101" s="309"/>
      <c r="Q101" s="309"/>
      <c r="R101" s="311"/>
    </row>
    <row r="102" spans="1:18" ht="17.25" customHeight="1">
      <c r="A102" s="313">
        <v>1</v>
      </c>
      <c r="B102" s="314" t="s">
        <v>224</v>
      </c>
      <c r="C102" s="313" t="s">
        <v>13</v>
      </c>
      <c r="D102" s="315">
        <v>37.48</v>
      </c>
      <c r="E102" s="332">
        <f>D102+0.5</f>
        <v>37.98</v>
      </c>
      <c r="F102" s="321"/>
      <c r="G102" s="321"/>
      <c r="H102" s="321"/>
      <c r="I102" s="321"/>
      <c r="J102" s="321"/>
      <c r="K102" s="321"/>
      <c r="L102" s="321"/>
      <c r="M102" s="321"/>
      <c r="N102" s="321"/>
      <c r="O102" s="321"/>
      <c r="P102" s="321"/>
      <c r="Q102" s="321"/>
      <c r="R102" s="319">
        <f>E102-D102</f>
        <v>0.5</v>
      </c>
    </row>
    <row r="103" spans="1:18" s="146" customFormat="1" ht="17.25" customHeight="1">
      <c r="A103" s="363">
        <v>2</v>
      </c>
      <c r="B103" s="364" t="s">
        <v>345</v>
      </c>
      <c r="C103" s="363" t="s">
        <v>198</v>
      </c>
      <c r="D103" s="365">
        <f>SUM(D104:D107)</f>
        <v>0.92</v>
      </c>
      <c r="E103" s="366">
        <f>SUM(E104:E107)</f>
        <v>0</v>
      </c>
      <c r="F103" s="367"/>
      <c r="G103" s="367"/>
      <c r="H103" s="367"/>
      <c r="I103" s="367"/>
      <c r="J103" s="367"/>
      <c r="K103" s="367"/>
      <c r="L103" s="367"/>
      <c r="M103" s="367"/>
      <c r="N103" s="367"/>
      <c r="O103" s="367"/>
      <c r="P103" s="367"/>
      <c r="Q103" s="367"/>
      <c r="R103" s="317">
        <f t="shared" si="22"/>
        <v>0</v>
      </c>
    </row>
    <row r="104" spans="1:18" s="146" customFormat="1" ht="17.25" customHeight="1" hidden="1">
      <c r="A104" s="363"/>
      <c r="B104" s="368" t="s">
        <v>377</v>
      </c>
      <c r="C104" s="363" t="s">
        <v>198</v>
      </c>
      <c r="D104" s="367"/>
      <c r="E104" s="322">
        <v>0</v>
      </c>
      <c r="F104" s="367"/>
      <c r="G104" s="367"/>
      <c r="H104" s="367"/>
      <c r="I104" s="367"/>
      <c r="J104" s="367"/>
      <c r="K104" s="367"/>
      <c r="L104" s="367"/>
      <c r="M104" s="367"/>
      <c r="N104" s="367"/>
      <c r="O104" s="367"/>
      <c r="P104" s="367"/>
      <c r="Q104" s="367"/>
      <c r="R104" s="317"/>
    </row>
    <row r="105" spans="1:18" s="146" customFormat="1" ht="17.25" customHeight="1">
      <c r="A105" s="363"/>
      <c r="B105" s="368" t="s">
        <v>407</v>
      </c>
      <c r="C105" s="363" t="s">
        <v>198</v>
      </c>
      <c r="D105" s="365">
        <v>0.92</v>
      </c>
      <c r="E105" s="322">
        <v>0</v>
      </c>
      <c r="F105" s="367"/>
      <c r="G105" s="367"/>
      <c r="H105" s="367"/>
      <c r="I105" s="367"/>
      <c r="J105" s="367"/>
      <c r="K105" s="367"/>
      <c r="L105" s="367"/>
      <c r="M105" s="367"/>
      <c r="N105" s="367"/>
      <c r="O105" s="367"/>
      <c r="P105" s="367"/>
      <c r="Q105" s="367"/>
      <c r="R105" s="317"/>
    </row>
    <row r="106" spans="1:18" s="146" customFormat="1" ht="24.75" customHeight="1" hidden="1">
      <c r="A106" s="363"/>
      <c r="B106" s="364" t="s">
        <v>361</v>
      </c>
      <c r="C106" s="363" t="s">
        <v>198</v>
      </c>
      <c r="D106" s="367">
        <v>0</v>
      </c>
      <c r="E106" s="369">
        <f>SUM(F106:Q106)</f>
        <v>0</v>
      </c>
      <c r="F106" s="367"/>
      <c r="G106" s="367"/>
      <c r="H106" s="367"/>
      <c r="I106" s="367"/>
      <c r="J106" s="367"/>
      <c r="K106" s="367"/>
      <c r="L106" s="367"/>
      <c r="M106" s="367"/>
      <c r="N106" s="367"/>
      <c r="O106" s="367"/>
      <c r="P106" s="367"/>
      <c r="Q106" s="367"/>
      <c r="R106" s="311"/>
    </row>
    <row r="107" spans="1:18" s="146" customFormat="1" ht="17.25" customHeight="1" hidden="1">
      <c r="A107" s="363"/>
      <c r="B107" s="368" t="s">
        <v>408</v>
      </c>
      <c r="C107" s="363" t="s">
        <v>198</v>
      </c>
      <c r="D107" s="365"/>
      <c r="E107" s="366">
        <v>0</v>
      </c>
      <c r="F107" s="367"/>
      <c r="G107" s="367"/>
      <c r="H107" s="367"/>
      <c r="I107" s="367"/>
      <c r="J107" s="367"/>
      <c r="K107" s="367"/>
      <c r="L107" s="367"/>
      <c r="M107" s="367"/>
      <c r="N107" s="367"/>
      <c r="O107" s="367"/>
      <c r="P107" s="367"/>
      <c r="Q107" s="367"/>
      <c r="R107" s="311"/>
    </row>
    <row r="108" spans="1:18" ht="17.25" customHeight="1">
      <c r="A108" s="313">
        <v>2</v>
      </c>
      <c r="B108" s="314" t="s">
        <v>346</v>
      </c>
      <c r="C108" s="313" t="s">
        <v>360</v>
      </c>
      <c r="D108" s="316">
        <f>D109+D110</f>
        <v>1650</v>
      </c>
      <c r="E108" s="316">
        <f>E109+E110</f>
        <v>1800</v>
      </c>
      <c r="F108" s="316"/>
      <c r="G108" s="316"/>
      <c r="H108" s="316"/>
      <c r="I108" s="316"/>
      <c r="J108" s="316"/>
      <c r="K108" s="316"/>
      <c r="L108" s="316"/>
      <c r="M108" s="316"/>
      <c r="N108" s="316"/>
      <c r="O108" s="316"/>
      <c r="P108" s="316"/>
      <c r="Q108" s="316"/>
      <c r="R108" s="317">
        <f t="shared" si="22"/>
        <v>109.09090909090908</v>
      </c>
    </row>
    <row r="109" spans="1:18" ht="17.25" customHeight="1">
      <c r="A109" s="313"/>
      <c r="B109" s="318" t="s">
        <v>413</v>
      </c>
      <c r="C109" s="313" t="s">
        <v>415</v>
      </c>
      <c r="D109" s="316">
        <v>1650</v>
      </c>
      <c r="E109" s="316">
        <v>1800</v>
      </c>
      <c r="F109" s="316"/>
      <c r="G109" s="316"/>
      <c r="H109" s="316"/>
      <c r="I109" s="316"/>
      <c r="J109" s="316"/>
      <c r="K109" s="316"/>
      <c r="L109" s="316"/>
      <c r="M109" s="316"/>
      <c r="N109" s="316"/>
      <c r="O109" s="316"/>
      <c r="P109" s="316"/>
      <c r="Q109" s="316"/>
      <c r="R109" s="317">
        <f t="shared" si="22"/>
        <v>109.09090909090908</v>
      </c>
    </row>
    <row r="110" spans="1:18" ht="17.25" customHeight="1" hidden="1">
      <c r="A110" s="313"/>
      <c r="B110" s="318" t="s">
        <v>414</v>
      </c>
      <c r="C110" s="313" t="s">
        <v>415</v>
      </c>
      <c r="D110" s="316"/>
      <c r="E110" s="316"/>
      <c r="F110" s="316"/>
      <c r="G110" s="316"/>
      <c r="H110" s="316"/>
      <c r="I110" s="316"/>
      <c r="J110" s="316"/>
      <c r="K110" s="316"/>
      <c r="L110" s="316"/>
      <c r="M110" s="316"/>
      <c r="N110" s="316"/>
      <c r="O110" s="316"/>
      <c r="P110" s="316"/>
      <c r="Q110" s="316"/>
      <c r="R110" s="317"/>
    </row>
    <row r="111" spans="1:18" ht="17.25" customHeight="1">
      <c r="A111" s="313">
        <v>3</v>
      </c>
      <c r="B111" s="314" t="s">
        <v>555</v>
      </c>
      <c r="C111" s="313" t="s">
        <v>198</v>
      </c>
      <c r="D111" s="321">
        <v>24171.9</v>
      </c>
      <c r="E111" s="357">
        <f>SUM(F111:Q111)</f>
        <v>24008.95</v>
      </c>
      <c r="F111" s="348">
        <f>38.39+246.724</f>
        <v>285.114</v>
      </c>
      <c r="G111" s="348">
        <f>1673.86-246.724</f>
        <v>1427.136</v>
      </c>
      <c r="H111" s="348">
        <v>1325.48</v>
      </c>
      <c r="I111" s="348">
        <v>1819.15</v>
      </c>
      <c r="J111" s="357">
        <v>3381.57</v>
      </c>
      <c r="K111" s="357">
        <v>2799.01</v>
      </c>
      <c r="L111" s="348">
        <v>2428.37</v>
      </c>
      <c r="M111" s="348">
        <v>1475.5</v>
      </c>
      <c r="N111" s="348">
        <v>1898.8</v>
      </c>
      <c r="O111" s="348">
        <v>1628.34</v>
      </c>
      <c r="P111" s="348">
        <v>3396.89</v>
      </c>
      <c r="Q111" s="348">
        <v>2143.59</v>
      </c>
      <c r="R111" s="334">
        <f t="shared" si="22"/>
        <v>99.32587012191843</v>
      </c>
    </row>
    <row r="112" spans="1:18" ht="17.25" customHeight="1">
      <c r="A112" s="313">
        <v>4</v>
      </c>
      <c r="B112" s="370" t="s">
        <v>416</v>
      </c>
      <c r="C112" s="313" t="s">
        <v>198</v>
      </c>
      <c r="D112" s="321">
        <f>D113+D114</f>
        <v>997.5</v>
      </c>
      <c r="E112" s="326">
        <f>E113+E114</f>
        <v>2350</v>
      </c>
      <c r="F112" s="321"/>
      <c r="G112" s="321"/>
      <c r="H112" s="321"/>
      <c r="I112" s="321"/>
      <c r="J112" s="321"/>
      <c r="K112" s="321"/>
      <c r="L112" s="321"/>
      <c r="M112" s="321"/>
      <c r="N112" s="321"/>
      <c r="O112" s="321"/>
      <c r="P112" s="321"/>
      <c r="Q112" s="321"/>
      <c r="R112" s="317">
        <f t="shared" si="22"/>
        <v>235.5889724310777</v>
      </c>
    </row>
    <row r="113" spans="1:18" ht="17.25" customHeight="1">
      <c r="A113" s="313"/>
      <c r="B113" s="320" t="s">
        <v>552</v>
      </c>
      <c r="C113" s="313" t="s">
        <v>198</v>
      </c>
      <c r="D113" s="321">
        <v>183.4</v>
      </c>
      <c r="E113" s="348">
        <f>2350-E114</f>
        <v>1352.5099999999998</v>
      </c>
      <c r="F113" s="321"/>
      <c r="G113" s="348"/>
      <c r="H113" s="348"/>
      <c r="I113" s="348"/>
      <c r="J113" s="348"/>
      <c r="K113" s="348"/>
      <c r="L113" s="348"/>
      <c r="M113" s="348"/>
      <c r="N113" s="348"/>
      <c r="O113" s="321"/>
      <c r="P113" s="321"/>
      <c r="Q113" s="321"/>
      <c r="R113" s="317">
        <f t="shared" si="22"/>
        <v>737.4645583424208</v>
      </c>
    </row>
    <row r="114" spans="1:18" ht="17.25" customHeight="1">
      <c r="A114" s="313"/>
      <c r="B114" s="320" t="s">
        <v>553</v>
      </c>
      <c r="C114" s="313" t="s">
        <v>198</v>
      </c>
      <c r="D114" s="321">
        <v>814.1</v>
      </c>
      <c r="E114" s="322">
        <f>SUM(F114:Q114)</f>
        <v>997.4900000000001</v>
      </c>
      <c r="F114" s="326"/>
      <c r="G114" s="348">
        <v>15.5</v>
      </c>
      <c r="H114" s="349">
        <f>150.23+35.74</f>
        <v>185.97</v>
      </c>
      <c r="I114" s="349">
        <f>25.46+78.35</f>
        <v>103.81</v>
      </c>
      <c r="J114" s="348">
        <v>190.71</v>
      </c>
      <c r="K114" s="348">
        <v>75.07</v>
      </c>
      <c r="L114" s="348">
        <v>28.62</v>
      </c>
      <c r="M114" s="349">
        <f>78.2+53.85</f>
        <v>132.05</v>
      </c>
      <c r="N114" s="348">
        <v>198.35</v>
      </c>
      <c r="O114" s="326"/>
      <c r="P114" s="322">
        <v>25.19</v>
      </c>
      <c r="Q114" s="322">
        <f>77.97-35.75</f>
        <v>42.22</v>
      </c>
      <c r="R114" s="317">
        <f t="shared" si="22"/>
        <v>122.52671661957993</v>
      </c>
    </row>
    <row r="115" spans="1:18" ht="17.25" customHeight="1">
      <c r="A115" s="313">
        <v>5</v>
      </c>
      <c r="B115" s="314" t="s">
        <v>554</v>
      </c>
      <c r="C115" s="313" t="s">
        <v>198</v>
      </c>
      <c r="D115" s="321">
        <v>197.9</v>
      </c>
      <c r="E115" s="371">
        <v>197.9</v>
      </c>
      <c r="F115" s="372"/>
      <c r="G115" s="371"/>
      <c r="H115" s="371"/>
      <c r="I115" s="371"/>
      <c r="J115" s="371"/>
      <c r="K115" s="371"/>
      <c r="L115" s="371"/>
      <c r="M115" s="371"/>
      <c r="N115" s="371"/>
      <c r="O115" s="371"/>
      <c r="P115" s="371"/>
      <c r="Q115" s="371"/>
      <c r="R115" s="373">
        <f t="shared" si="22"/>
        <v>100</v>
      </c>
    </row>
    <row r="116" spans="1:18" s="143" customFormat="1" ht="19.5" customHeight="1" hidden="1">
      <c r="A116" s="125" t="s">
        <v>3</v>
      </c>
      <c r="B116" s="126" t="s">
        <v>227</v>
      </c>
      <c r="C116" s="125"/>
      <c r="D116" s="127"/>
      <c r="E116" s="127"/>
      <c r="F116" s="127"/>
      <c r="G116" s="127"/>
      <c r="H116" s="127"/>
      <c r="I116" s="127"/>
      <c r="J116" s="127"/>
      <c r="K116" s="127"/>
      <c r="L116" s="127"/>
      <c r="M116" s="127"/>
      <c r="N116" s="127"/>
      <c r="O116" s="127"/>
      <c r="P116" s="127"/>
      <c r="Q116" s="127"/>
      <c r="R116" s="128"/>
    </row>
    <row r="117" spans="1:18" ht="15.75" customHeight="1" hidden="1">
      <c r="A117" s="70">
        <v>1</v>
      </c>
      <c r="B117" s="72" t="s">
        <v>260</v>
      </c>
      <c r="C117" s="70" t="s">
        <v>228</v>
      </c>
      <c r="D117" s="86"/>
      <c r="E117" s="86"/>
      <c r="F117" s="86"/>
      <c r="G117" s="86"/>
      <c r="H117" s="86"/>
      <c r="I117" s="86"/>
      <c r="J117" s="86"/>
      <c r="K117" s="86"/>
      <c r="L117" s="86"/>
      <c r="M117" s="86"/>
      <c r="N117" s="86"/>
      <c r="O117" s="86"/>
      <c r="P117" s="86"/>
      <c r="Q117" s="86"/>
      <c r="R117" s="79"/>
    </row>
    <row r="118" spans="1:18" ht="18" customHeight="1" hidden="1">
      <c r="A118" s="74"/>
      <c r="B118" s="75" t="s">
        <v>229</v>
      </c>
      <c r="C118" s="74" t="s">
        <v>228</v>
      </c>
      <c r="D118" s="58"/>
      <c r="E118" s="58"/>
      <c r="F118" s="58"/>
      <c r="G118" s="58"/>
      <c r="H118" s="58"/>
      <c r="I118" s="58"/>
      <c r="J118" s="58"/>
      <c r="K118" s="58"/>
      <c r="L118" s="58"/>
      <c r="M118" s="58"/>
      <c r="N118" s="58"/>
      <c r="O118" s="58"/>
      <c r="P118" s="58"/>
      <c r="Q118" s="58"/>
      <c r="R118" s="79"/>
    </row>
    <row r="119" spans="1:18" ht="15" customHeight="1" hidden="1">
      <c r="A119" s="74"/>
      <c r="B119" s="75" t="s">
        <v>230</v>
      </c>
      <c r="C119" s="74" t="s">
        <v>228</v>
      </c>
      <c r="D119" s="58"/>
      <c r="E119" s="58"/>
      <c r="F119" s="58"/>
      <c r="G119" s="58"/>
      <c r="H119" s="58"/>
      <c r="I119" s="58"/>
      <c r="J119" s="58"/>
      <c r="K119" s="58"/>
      <c r="L119" s="58"/>
      <c r="M119" s="58"/>
      <c r="N119" s="58"/>
      <c r="O119" s="58"/>
      <c r="P119" s="58"/>
      <c r="Q119" s="58"/>
      <c r="R119" s="79"/>
    </row>
    <row r="120" spans="1:18" ht="15.75" customHeight="1" hidden="1">
      <c r="A120" s="74"/>
      <c r="B120" s="78" t="s">
        <v>261</v>
      </c>
      <c r="C120" s="74" t="s">
        <v>228</v>
      </c>
      <c r="D120" s="58"/>
      <c r="E120" s="58"/>
      <c r="F120" s="58"/>
      <c r="G120" s="58"/>
      <c r="H120" s="58"/>
      <c r="I120" s="58"/>
      <c r="J120" s="58"/>
      <c r="K120" s="58"/>
      <c r="L120" s="58"/>
      <c r="M120" s="58"/>
      <c r="N120" s="58"/>
      <c r="O120" s="58"/>
      <c r="P120" s="58"/>
      <c r="Q120" s="58"/>
      <c r="R120" s="79"/>
    </row>
    <row r="121" spans="1:18" ht="15.75" customHeight="1" hidden="1">
      <c r="A121" s="74"/>
      <c r="B121" s="77" t="s">
        <v>232</v>
      </c>
      <c r="C121" s="74" t="s">
        <v>228</v>
      </c>
      <c r="D121" s="58"/>
      <c r="E121" s="58"/>
      <c r="F121" s="58"/>
      <c r="G121" s="58"/>
      <c r="H121" s="58"/>
      <c r="I121" s="58"/>
      <c r="J121" s="58"/>
      <c r="K121" s="58"/>
      <c r="L121" s="58"/>
      <c r="M121" s="58"/>
      <c r="N121" s="58"/>
      <c r="O121" s="58"/>
      <c r="P121" s="58"/>
      <c r="Q121" s="58"/>
      <c r="R121" s="79"/>
    </row>
    <row r="122" spans="1:18" s="143" customFormat="1" ht="15" customHeight="1" hidden="1">
      <c r="A122" s="74"/>
      <c r="B122" s="77" t="s">
        <v>233</v>
      </c>
      <c r="C122" s="74" t="s">
        <v>228</v>
      </c>
      <c r="D122" s="58"/>
      <c r="E122" s="58"/>
      <c r="F122" s="58"/>
      <c r="G122" s="58"/>
      <c r="H122" s="58"/>
      <c r="I122" s="58"/>
      <c r="J122" s="58"/>
      <c r="K122" s="58"/>
      <c r="L122" s="58"/>
      <c r="M122" s="58"/>
      <c r="N122" s="58"/>
      <c r="O122" s="58"/>
      <c r="P122" s="58"/>
      <c r="Q122" s="58"/>
      <c r="R122" s="79"/>
    </row>
    <row r="123" spans="1:18" ht="15" customHeight="1" hidden="1">
      <c r="A123" s="70">
        <v>2</v>
      </c>
      <c r="B123" s="72" t="s">
        <v>234</v>
      </c>
      <c r="C123" s="70"/>
      <c r="D123" s="86"/>
      <c r="E123" s="86"/>
      <c r="F123" s="86"/>
      <c r="G123" s="86"/>
      <c r="H123" s="86"/>
      <c r="I123" s="86"/>
      <c r="J123" s="86"/>
      <c r="K123" s="86"/>
      <c r="L123" s="86"/>
      <c r="M123" s="86"/>
      <c r="N123" s="86"/>
      <c r="O123" s="86"/>
      <c r="P123" s="86"/>
      <c r="Q123" s="86"/>
      <c r="R123" s="79"/>
    </row>
    <row r="124" spans="1:18" s="147" customFormat="1" ht="15.75" hidden="1">
      <c r="A124" s="70" t="s">
        <v>3</v>
      </c>
      <c r="B124" s="71" t="s">
        <v>227</v>
      </c>
      <c r="C124" s="70"/>
      <c r="D124" s="55"/>
      <c r="E124" s="55"/>
      <c r="F124" s="55"/>
      <c r="G124" s="55"/>
      <c r="H124" s="55"/>
      <c r="I124" s="55"/>
      <c r="J124" s="55"/>
      <c r="K124" s="55"/>
      <c r="L124" s="55"/>
      <c r="M124" s="55"/>
      <c r="N124" s="55"/>
      <c r="O124" s="55"/>
      <c r="P124" s="55"/>
      <c r="Q124" s="55"/>
      <c r="R124" s="76"/>
    </row>
    <row r="125" spans="1:18" s="147" customFormat="1" ht="15" customHeight="1" hidden="1">
      <c r="A125" s="70">
        <v>1</v>
      </c>
      <c r="B125" s="72" t="s">
        <v>305</v>
      </c>
      <c r="C125" s="70" t="s">
        <v>228</v>
      </c>
      <c r="D125" s="118">
        <v>74088</v>
      </c>
      <c r="E125" s="55"/>
      <c r="F125" s="55"/>
      <c r="G125" s="55"/>
      <c r="H125" s="55"/>
      <c r="I125" s="55"/>
      <c r="J125" s="55"/>
      <c r="K125" s="55"/>
      <c r="L125" s="55"/>
      <c r="M125" s="55"/>
      <c r="N125" s="55"/>
      <c r="O125" s="55"/>
      <c r="P125" s="55"/>
      <c r="Q125" s="55"/>
      <c r="R125" s="76"/>
    </row>
    <row r="126" spans="1:18" s="148" customFormat="1" ht="16.5" customHeight="1" hidden="1">
      <c r="A126" s="74"/>
      <c r="B126" s="75" t="s">
        <v>229</v>
      </c>
      <c r="C126" s="74" t="s">
        <v>228</v>
      </c>
      <c r="D126" s="56"/>
      <c r="E126" s="56"/>
      <c r="F126" s="56"/>
      <c r="G126" s="56"/>
      <c r="H126" s="56"/>
      <c r="I126" s="56"/>
      <c r="J126" s="56"/>
      <c r="K126" s="56"/>
      <c r="L126" s="56"/>
      <c r="M126" s="56"/>
      <c r="N126" s="56"/>
      <c r="O126" s="56"/>
      <c r="P126" s="56"/>
      <c r="Q126" s="56"/>
      <c r="R126" s="76"/>
    </row>
    <row r="127" spans="1:18" s="148" customFormat="1" ht="21" customHeight="1" hidden="1">
      <c r="A127" s="74"/>
      <c r="B127" s="75" t="s">
        <v>230</v>
      </c>
      <c r="C127" s="74" t="s">
        <v>228</v>
      </c>
      <c r="D127" s="56"/>
      <c r="E127" s="56"/>
      <c r="F127" s="56"/>
      <c r="G127" s="56"/>
      <c r="H127" s="56"/>
      <c r="I127" s="56"/>
      <c r="J127" s="56"/>
      <c r="K127" s="56"/>
      <c r="L127" s="56"/>
      <c r="M127" s="56"/>
      <c r="N127" s="56"/>
      <c r="O127" s="56"/>
      <c r="P127" s="56"/>
      <c r="Q127" s="56"/>
      <c r="R127" s="76"/>
    </row>
    <row r="128" spans="1:18" s="148" customFormat="1" ht="24" customHeight="1" hidden="1">
      <c r="A128" s="74"/>
      <c r="B128" s="78" t="s">
        <v>231</v>
      </c>
      <c r="C128" s="74" t="s">
        <v>228</v>
      </c>
      <c r="D128" s="56"/>
      <c r="E128" s="56"/>
      <c r="F128" s="56"/>
      <c r="G128" s="56"/>
      <c r="H128" s="56"/>
      <c r="I128" s="56"/>
      <c r="J128" s="56"/>
      <c r="K128" s="56"/>
      <c r="L128" s="56"/>
      <c r="M128" s="56"/>
      <c r="N128" s="56"/>
      <c r="O128" s="56"/>
      <c r="P128" s="56"/>
      <c r="Q128" s="56"/>
      <c r="R128" s="76"/>
    </row>
    <row r="129" spans="1:18" s="148" customFormat="1" ht="15" customHeight="1" hidden="1">
      <c r="A129" s="74"/>
      <c r="B129" s="77" t="s">
        <v>232</v>
      </c>
      <c r="C129" s="74" t="s">
        <v>228</v>
      </c>
      <c r="D129" s="56"/>
      <c r="E129" s="56"/>
      <c r="F129" s="56"/>
      <c r="G129" s="56"/>
      <c r="H129" s="56"/>
      <c r="I129" s="56"/>
      <c r="J129" s="56"/>
      <c r="K129" s="56"/>
      <c r="L129" s="56"/>
      <c r="M129" s="56"/>
      <c r="N129" s="56"/>
      <c r="O129" s="56"/>
      <c r="P129" s="56"/>
      <c r="Q129" s="56"/>
      <c r="R129" s="76"/>
    </row>
    <row r="130" spans="1:18" s="148" customFormat="1" ht="13.5" customHeight="1" hidden="1">
      <c r="A130" s="74"/>
      <c r="B130" s="77" t="s">
        <v>233</v>
      </c>
      <c r="C130" s="74" t="s">
        <v>228</v>
      </c>
      <c r="D130" s="56"/>
      <c r="E130" s="56"/>
      <c r="F130" s="56"/>
      <c r="G130" s="56"/>
      <c r="H130" s="56"/>
      <c r="I130" s="56"/>
      <c r="J130" s="56"/>
      <c r="K130" s="56"/>
      <c r="L130" s="56"/>
      <c r="M130" s="56"/>
      <c r="N130" s="56"/>
      <c r="O130" s="56"/>
      <c r="P130" s="56"/>
      <c r="Q130" s="56"/>
      <c r="R130" s="76"/>
    </row>
    <row r="131" spans="1:18" s="147" customFormat="1" ht="30" customHeight="1" hidden="1">
      <c r="A131" s="70">
        <v>2</v>
      </c>
      <c r="B131" s="72" t="s">
        <v>262</v>
      </c>
      <c r="C131" s="70"/>
      <c r="D131" s="55"/>
      <c r="E131" s="55"/>
      <c r="F131" s="55"/>
      <c r="G131" s="55"/>
      <c r="H131" s="55"/>
      <c r="I131" s="55"/>
      <c r="J131" s="55"/>
      <c r="K131" s="55"/>
      <c r="L131" s="55"/>
      <c r="M131" s="55"/>
      <c r="N131" s="55"/>
      <c r="O131" s="55"/>
      <c r="P131" s="55"/>
      <c r="Q131" s="55"/>
      <c r="R131" s="76"/>
    </row>
    <row r="132" spans="1:18" s="148" customFormat="1" ht="17.25" customHeight="1" hidden="1">
      <c r="A132" s="74"/>
      <c r="B132" s="75" t="s">
        <v>235</v>
      </c>
      <c r="C132" s="74" t="s">
        <v>236</v>
      </c>
      <c r="D132" s="58"/>
      <c r="E132" s="58"/>
      <c r="F132" s="58"/>
      <c r="G132" s="58"/>
      <c r="H132" s="58"/>
      <c r="I132" s="58"/>
      <c r="J132" s="58"/>
      <c r="K132" s="58"/>
      <c r="L132" s="58"/>
      <c r="M132" s="58"/>
      <c r="N132" s="58"/>
      <c r="O132" s="58"/>
      <c r="P132" s="58"/>
      <c r="Q132" s="58"/>
      <c r="R132" s="76"/>
    </row>
    <row r="133" spans="1:18" s="148" customFormat="1" ht="17.25" customHeight="1" hidden="1">
      <c r="A133" s="74"/>
      <c r="B133" s="75" t="s">
        <v>263</v>
      </c>
      <c r="C133" s="74" t="s">
        <v>304</v>
      </c>
      <c r="D133" s="89">
        <v>1.02</v>
      </c>
      <c r="E133" s="58"/>
      <c r="F133" s="58"/>
      <c r="G133" s="58"/>
      <c r="H133" s="58"/>
      <c r="I133" s="58"/>
      <c r="J133" s="58"/>
      <c r="K133" s="58"/>
      <c r="L133" s="58"/>
      <c r="M133" s="58"/>
      <c r="N133" s="58"/>
      <c r="O133" s="58"/>
      <c r="P133" s="58"/>
      <c r="Q133" s="58"/>
      <c r="R133" s="76"/>
    </row>
    <row r="134" spans="1:18" s="148" customFormat="1" ht="17.25" customHeight="1" hidden="1">
      <c r="A134" s="74"/>
      <c r="B134" s="75" t="s">
        <v>321</v>
      </c>
      <c r="C134" s="74" t="s">
        <v>237</v>
      </c>
      <c r="D134" s="58">
        <v>2.635</v>
      </c>
      <c r="E134" s="58"/>
      <c r="F134" s="58"/>
      <c r="G134" s="58"/>
      <c r="H134" s="58"/>
      <c r="I134" s="58"/>
      <c r="J134" s="58"/>
      <c r="K134" s="58"/>
      <c r="L134" s="58"/>
      <c r="M134" s="58"/>
      <c r="N134" s="58"/>
      <c r="O134" s="58"/>
      <c r="P134" s="58"/>
      <c r="Q134" s="58"/>
      <c r="R134" s="76" t="e">
        <f>#REF!/D134%</f>
        <v>#REF!</v>
      </c>
    </row>
    <row r="135" spans="1:18" s="148" customFormat="1" ht="18.75" customHeight="1" hidden="1">
      <c r="A135" s="74"/>
      <c r="B135" s="75" t="s">
        <v>238</v>
      </c>
      <c r="C135" s="74" t="s">
        <v>237</v>
      </c>
      <c r="D135" s="58"/>
      <c r="E135" s="57"/>
      <c r="F135" s="57"/>
      <c r="G135" s="57"/>
      <c r="H135" s="57"/>
      <c r="I135" s="57"/>
      <c r="J135" s="57"/>
      <c r="K135" s="57"/>
      <c r="L135" s="57"/>
      <c r="M135" s="57"/>
      <c r="N135" s="57"/>
      <c r="O135" s="57"/>
      <c r="P135" s="57"/>
      <c r="Q135" s="57"/>
      <c r="R135" s="76"/>
    </row>
    <row r="136" spans="1:18" s="148" customFormat="1" ht="15" hidden="1">
      <c r="A136" s="74"/>
      <c r="B136" s="75" t="s">
        <v>239</v>
      </c>
      <c r="C136" s="74" t="s">
        <v>240</v>
      </c>
      <c r="D136" s="58">
        <v>12500</v>
      </c>
      <c r="E136" s="57"/>
      <c r="F136" s="57"/>
      <c r="G136" s="57"/>
      <c r="H136" s="57"/>
      <c r="I136" s="57"/>
      <c r="J136" s="57"/>
      <c r="K136" s="57"/>
      <c r="L136" s="57"/>
      <c r="M136" s="57"/>
      <c r="N136" s="57"/>
      <c r="O136" s="57"/>
      <c r="P136" s="57"/>
      <c r="Q136" s="57"/>
      <c r="R136" s="76" t="e">
        <f>#REF!/D136%</f>
        <v>#REF!</v>
      </c>
    </row>
    <row r="137" spans="1:18" s="148" customFormat="1" ht="15" hidden="1">
      <c r="A137" s="74"/>
      <c r="B137" s="75" t="s">
        <v>241</v>
      </c>
      <c r="C137" s="74" t="s">
        <v>197</v>
      </c>
      <c r="D137" s="58">
        <f>5357+2721</f>
        <v>8078</v>
      </c>
      <c r="E137" s="57"/>
      <c r="F137" s="57"/>
      <c r="G137" s="57"/>
      <c r="H137" s="57"/>
      <c r="I137" s="57"/>
      <c r="J137" s="57"/>
      <c r="K137" s="57"/>
      <c r="L137" s="57"/>
      <c r="M137" s="57"/>
      <c r="N137" s="57"/>
      <c r="O137" s="57"/>
      <c r="P137" s="57"/>
      <c r="Q137" s="57"/>
      <c r="R137" s="76" t="e">
        <f>#REF!/D137%</f>
        <v>#REF!</v>
      </c>
    </row>
    <row r="138" spans="1:18" s="148" customFormat="1" ht="15" hidden="1">
      <c r="A138" s="74"/>
      <c r="B138" s="75" t="s">
        <v>242</v>
      </c>
      <c r="C138" s="74" t="s">
        <v>197</v>
      </c>
      <c r="D138" s="58"/>
      <c r="E138" s="57"/>
      <c r="F138" s="57"/>
      <c r="G138" s="57"/>
      <c r="H138" s="57"/>
      <c r="I138" s="57"/>
      <c r="J138" s="57"/>
      <c r="K138" s="57"/>
      <c r="L138" s="57"/>
      <c r="M138" s="57"/>
      <c r="N138" s="57"/>
      <c r="O138" s="57"/>
      <c r="P138" s="57"/>
      <c r="Q138" s="57"/>
      <c r="R138" s="76" t="e">
        <f>#REF!/D138%</f>
        <v>#REF!</v>
      </c>
    </row>
    <row r="139" spans="1:18" s="148" customFormat="1" ht="15" hidden="1">
      <c r="A139" s="74"/>
      <c r="B139" s="75" t="s">
        <v>243</v>
      </c>
      <c r="C139" s="74" t="s">
        <v>197</v>
      </c>
      <c r="D139" s="58"/>
      <c r="E139" s="57"/>
      <c r="F139" s="57"/>
      <c r="G139" s="57"/>
      <c r="H139" s="57"/>
      <c r="I139" s="57"/>
      <c r="J139" s="57"/>
      <c r="K139" s="57"/>
      <c r="L139" s="57"/>
      <c r="M139" s="57"/>
      <c r="N139" s="57"/>
      <c r="O139" s="57"/>
      <c r="P139" s="57"/>
      <c r="Q139" s="57"/>
      <c r="R139" s="76" t="e">
        <f>#REF!/D139%</f>
        <v>#REF!</v>
      </c>
    </row>
    <row r="140" spans="1:18" s="148" customFormat="1" ht="15" hidden="1">
      <c r="A140" s="74"/>
      <c r="B140" s="75" t="s">
        <v>244</v>
      </c>
      <c r="C140" s="74" t="s">
        <v>245</v>
      </c>
      <c r="D140" s="58"/>
      <c r="E140" s="57"/>
      <c r="F140" s="57"/>
      <c r="G140" s="57"/>
      <c r="H140" s="57"/>
      <c r="I140" s="57"/>
      <c r="J140" s="57"/>
      <c r="K140" s="57"/>
      <c r="L140" s="57"/>
      <c r="M140" s="57"/>
      <c r="N140" s="57"/>
      <c r="O140" s="57"/>
      <c r="P140" s="57"/>
      <c r="Q140" s="57"/>
      <c r="R140" s="76" t="e">
        <f>#REF!/D140%</f>
        <v>#REF!</v>
      </c>
    </row>
    <row r="141" spans="1:18" s="148" customFormat="1" ht="15" hidden="1">
      <c r="A141" s="74"/>
      <c r="B141" s="75" t="s">
        <v>246</v>
      </c>
      <c r="C141" s="74" t="s">
        <v>247</v>
      </c>
      <c r="D141" s="58"/>
      <c r="E141" s="57"/>
      <c r="F141" s="57"/>
      <c r="G141" s="57"/>
      <c r="H141" s="57"/>
      <c r="I141" s="57"/>
      <c r="J141" s="57"/>
      <c r="K141" s="57"/>
      <c r="L141" s="57"/>
      <c r="M141" s="57"/>
      <c r="N141" s="57"/>
      <c r="O141" s="57"/>
      <c r="P141" s="57"/>
      <c r="Q141" s="57"/>
      <c r="R141" s="76" t="e">
        <f>#REF!/D141%</f>
        <v>#REF!</v>
      </c>
    </row>
    <row r="142" spans="1:18" s="148" customFormat="1" ht="15" hidden="1">
      <c r="A142" s="74"/>
      <c r="B142" s="75" t="s">
        <v>248</v>
      </c>
      <c r="C142" s="74" t="s">
        <v>264</v>
      </c>
      <c r="D142" s="87">
        <v>0.246</v>
      </c>
      <c r="E142" s="58"/>
      <c r="F142" s="58"/>
      <c r="G142" s="58"/>
      <c r="H142" s="58"/>
      <c r="I142" s="58"/>
      <c r="J142" s="58"/>
      <c r="K142" s="58"/>
      <c r="L142" s="58"/>
      <c r="M142" s="58"/>
      <c r="N142" s="58"/>
      <c r="O142" s="58"/>
      <c r="P142" s="58"/>
      <c r="Q142" s="58"/>
      <c r="R142" s="76" t="e">
        <f>#REF!/D142%</f>
        <v>#REF!</v>
      </c>
    </row>
    <row r="143" spans="1:18" s="147" customFormat="1" ht="15.75" hidden="1">
      <c r="A143" s="70" t="s">
        <v>190</v>
      </c>
      <c r="B143" s="71" t="s">
        <v>249</v>
      </c>
      <c r="C143" s="70"/>
      <c r="D143" s="55"/>
      <c r="E143" s="119"/>
      <c r="F143" s="119"/>
      <c r="G143" s="119"/>
      <c r="H143" s="119"/>
      <c r="I143" s="119"/>
      <c r="J143" s="119"/>
      <c r="K143" s="119"/>
      <c r="L143" s="119"/>
      <c r="M143" s="119"/>
      <c r="N143" s="119"/>
      <c r="O143" s="119"/>
      <c r="P143" s="119"/>
      <c r="Q143" s="119"/>
      <c r="R143" s="73"/>
    </row>
    <row r="144" spans="1:18" s="147" customFormat="1" ht="15.75" hidden="1">
      <c r="A144" s="70">
        <v>1</v>
      </c>
      <c r="B144" s="72" t="s">
        <v>250</v>
      </c>
      <c r="C144" s="70" t="s">
        <v>228</v>
      </c>
      <c r="D144" s="55">
        <v>295.436</v>
      </c>
      <c r="E144" s="119"/>
      <c r="F144" s="119"/>
      <c r="G144" s="119"/>
      <c r="H144" s="119"/>
      <c r="I144" s="119"/>
      <c r="J144" s="119"/>
      <c r="K144" s="119"/>
      <c r="L144" s="119"/>
      <c r="M144" s="119"/>
      <c r="N144" s="119"/>
      <c r="O144" s="119"/>
      <c r="P144" s="119"/>
      <c r="Q144" s="119"/>
      <c r="R144" s="73" t="e">
        <f>#REF!/D144%</f>
        <v>#REF!</v>
      </c>
    </row>
    <row r="145" spans="1:18" s="147" customFormat="1" ht="15.75" hidden="1">
      <c r="A145" s="70">
        <v>2</v>
      </c>
      <c r="B145" s="71" t="s">
        <v>251</v>
      </c>
      <c r="C145" s="70"/>
      <c r="D145" s="55"/>
      <c r="E145" s="119"/>
      <c r="F145" s="119"/>
      <c r="G145" s="119"/>
      <c r="H145" s="119"/>
      <c r="I145" s="119"/>
      <c r="J145" s="119"/>
      <c r="K145" s="119"/>
      <c r="L145" s="119"/>
      <c r="M145" s="119"/>
      <c r="N145" s="119"/>
      <c r="O145" s="119"/>
      <c r="P145" s="119"/>
      <c r="Q145" s="119"/>
      <c r="R145" s="73"/>
    </row>
    <row r="146" spans="1:18" s="147" customFormat="1" ht="15.75" hidden="1">
      <c r="A146" s="70"/>
      <c r="B146" s="72"/>
      <c r="C146" s="70"/>
      <c r="D146" s="55"/>
      <c r="E146" s="119"/>
      <c r="F146" s="119"/>
      <c r="G146" s="119"/>
      <c r="H146" s="119"/>
      <c r="I146" s="119"/>
      <c r="J146" s="119"/>
      <c r="K146" s="119"/>
      <c r="L146" s="119"/>
      <c r="M146" s="119"/>
      <c r="N146" s="119"/>
      <c r="O146" s="119"/>
      <c r="P146" s="119"/>
      <c r="Q146" s="119"/>
      <c r="R146" s="73" t="e">
        <f>#REF!/D146%</f>
        <v>#REF!</v>
      </c>
    </row>
    <row r="147" spans="1:18" s="147" customFormat="1" ht="15.75" hidden="1">
      <c r="A147" s="70"/>
      <c r="B147" s="71"/>
      <c r="C147" s="70"/>
      <c r="D147" s="55"/>
      <c r="E147" s="119"/>
      <c r="F147" s="119"/>
      <c r="G147" s="119"/>
      <c r="H147" s="119"/>
      <c r="I147" s="119"/>
      <c r="J147" s="119"/>
      <c r="K147" s="119"/>
      <c r="L147" s="119"/>
      <c r="M147" s="119"/>
      <c r="N147" s="119"/>
      <c r="O147" s="119"/>
      <c r="P147" s="119"/>
      <c r="Q147" s="119"/>
      <c r="R147" s="73" t="e">
        <f>#REF!/D147%</f>
        <v>#REF!</v>
      </c>
    </row>
    <row r="148" spans="1:18" s="147" customFormat="1" ht="15.75" hidden="1">
      <c r="A148" s="70"/>
      <c r="B148" s="71"/>
      <c r="C148" s="70"/>
      <c r="D148" s="55"/>
      <c r="E148" s="119"/>
      <c r="F148" s="119"/>
      <c r="G148" s="119"/>
      <c r="H148" s="119"/>
      <c r="I148" s="119"/>
      <c r="J148" s="119"/>
      <c r="K148" s="119"/>
      <c r="L148" s="119"/>
      <c r="M148" s="119"/>
      <c r="N148" s="119"/>
      <c r="O148" s="119"/>
      <c r="P148" s="119"/>
      <c r="Q148" s="119"/>
      <c r="R148" s="73" t="e">
        <f>#REF!/D148%</f>
        <v>#REF!</v>
      </c>
    </row>
    <row r="149" spans="1:18" s="147" customFormat="1" ht="15.75" hidden="1">
      <c r="A149" s="70"/>
      <c r="B149" s="71"/>
      <c r="C149" s="70"/>
      <c r="D149" s="55"/>
      <c r="E149" s="119"/>
      <c r="F149" s="119"/>
      <c r="G149" s="119"/>
      <c r="H149" s="119"/>
      <c r="I149" s="119"/>
      <c r="J149" s="119"/>
      <c r="K149" s="119"/>
      <c r="L149" s="119"/>
      <c r="M149" s="119"/>
      <c r="N149" s="119"/>
      <c r="O149" s="119"/>
      <c r="P149" s="119"/>
      <c r="Q149" s="119"/>
      <c r="R149" s="73" t="e">
        <f>#REF!/D149%</f>
        <v>#REF!</v>
      </c>
    </row>
    <row r="150" spans="1:18" s="147" customFormat="1" ht="15.75" hidden="1">
      <c r="A150" s="70"/>
      <c r="B150" s="71"/>
      <c r="C150" s="70"/>
      <c r="D150" s="55"/>
      <c r="E150" s="119"/>
      <c r="F150" s="119"/>
      <c r="G150" s="119"/>
      <c r="H150" s="119"/>
      <c r="I150" s="119"/>
      <c r="J150" s="119"/>
      <c r="K150" s="119"/>
      <c r="L150" s="119"/>
      <c r="M150" s="119"/>
      <c r="N150" s="119"/>
      <c r="O150" s="119"/>
      <c r="P150" s="119"/>
      <c r="Q150" s="119"/>
      <c r="R150" s="73" t="e">
        <f>#REF!/D150%</f>
        <v>#REF!</v>
      </c>
    </row>
    <row r="151" spans="1:18" s="148" customFormat="1" ht="15" hidden="1">
      <c r="A151" s="74"/>
      <c r="B151" s="75" t="s">
        <v>252</v>
      </c>
      <c r="C151" s="74" t="s">
        <v>150</v>
      </c>
      <c r="D151" s="58">
        <v>2900</v>
      </c>
      <c r="E151" s="120"/>
      <c r="F151" s="120"/>
      <c r="G151" s="120"/>
      <c r="H151" s="120"/>
      <c r="I151" s="120"/>
      <c r="J151" s="120"/>
      <c r="K151" s="120"/>
      <c r="L151" s="120"/>
      <c r="M151" s="120"/>
      <c r="N151" s="120"/>
      <c r="O151" s="120"/>
      <c r="P151" s="120"/>
      <c r="Q151" s="120"/>
      <c r="R151" s="76" t="e">
        <f>#REF!/D151%</f>
        <v>#REF!</v>
      </c>
    </row>
    <row r="152" spans="1:18" s="148" customFormat="1" ht="15" hidden="1">
      <c r="A152" s="74"/>
      <c r="B152" s="75" t="s">
        <v>253</v>
      </c>
      <c r="C152" s="74" t="s">
        <v>254</v>
      </c>
      <c r="D152" s="117">
        <v>64.54</v>
      </c>
      <c r="E152" s="120"/>
      <c r="F152" s="120"/>
      <c r="G152" s="120"/>
      <c r="H152" s="120"/>
      <c r="I152" s="120"/>
      <c r="J152" s="120"/>
      <c r="K152" s="120"/>
      <c r="L152" s="120"/>
      <c r="M152" s="120"/>
      <c r="N152" s="120"/>
      <c r="O152" s="120"/>
      <c r="P152" s="120"/>
      <c r="Q152" s="120"/>
      <c r="R152" s="76" t="e">
        <f>#REF!/D152%</f>
        <v>#REF!</v>
      </c>
    </row>
    <row r="153" spans="1:18" s="147" customFormat="1" ht="19.5" customHeight="1" hidden="1">
      <c r="A153" s="70">
        <v>3</v>
      </c>
      <c r="B153" s="72" t="s">
        <v>255</v>
      </c>
      <c r="C153" s="70"/>
      <c r="D153" s="55"/>
      <c r="E153" s="119"/>
      <c r="F153" s="119"/>
      <c r="G153" s="119"/>
      <c r="H153" s="119"/>
      <c r="I153" s="119"/>
      <c r="J153" s="119"/>
      <c r="K153" s="119"/>
      <c r="L153" s="119"/>
      <c r="M153" s="119"/>
      <c r="N153" s="119"/>
      <c r="O153" s="119"/>
      <c r="P153" s="119"/>
      <c r="Q153" s="119"/>
      <c r="R153" s="76"/>
    </row>
    <row r="154" spans="1:18" s="147" customFormat="1" ht="19.5" customHeight="1" hidden="1">
      <c r="A154" s="70"/>
      <c r="B154" s="72"/>
      <c r="C154" s="80"/>
      <c r="D154" s="55"/>
      <c r="E154" s="119"/>
      <c r="F154" s="119"/>
      <c r="G154" s="119"/>
      <c r="H154" s="119"/>
      <c r="I154" s="119"/>
      <c r="J154" s="119"/>
      <c r="K154" s="119"/>
      <c r="L154" s="119"/>
      <c r="M154" s="119"/>
      <c r="N154" s="119"/>
      <c r="O154" s="119"/>
      <c r="P154" s="119"/>
      <c r="Q154" s="119"/>
      <c r="R154" s="76" t="e">
        <f>#REF!/D154%</f>
        <v>#REF!</v>
      </c>
    </row>
    <row r="155" spans="1:18" s="148" customFormat="1" ht="19.5" customHeight="1" hidden="1">
      <c r="A155" s="74"/>
      <c r="B155" s="81"/>
      <c r="C155" s="82"/>
      <c r="D155" s="56"/>
      <c r="E155" s="120"/>
      <c r="F155" s="120"/>
      <c r="G155" s="120"/>
      <c r="H155" s="120"/>
      <c r="I155" s="120"/>
      <c r="J155" s="120"/>
      <c r="K155" s="120"/>
      <c r="L155" s="120"/>
      <c r="M155" s="120"/>
      <c r="N155" s="120"/>
      <c r="O155" s="120"/>
      <c r="P155" s="120"/>
      <c r="Q155" s="120"/>
      <c r="R155" s="76" t="e">
        <f>#REF!/D155%</f>
        <v>#REF!</v>
      </c>
    </row>
    <row r="156" spans="1:18" s="147" customFormat="1" ht="15.75" hidden="1">
      <c r="A156" s="70"/>
      <c r="B156" s="75" t="s">
        <v>256</v>
      </c>
      <c r="C156" s="74" t="s">
        <v>197</v>
      </c>
      <c r="D156" s="58">
        <v>48560</v>
      </c>
      <c r="E156" s="120"/>
      <c r="F156" s="120"/>
      <c r="G156" s="120"/>
      <c r="H156" s="120"/>
      <c r="I156" s="120"/>
      <c r="J156" s="120"/>
      <c r="K156" s="120"/>
      <c r="L156" s="120"/>
      <c r="M156" s="120"/>
      <c r="N156" s="120"/>
      <c r="O156" s="120"/>
      <c r="P156" s="120"/>
      <c r="Q156" s="120"/>
      <c r="R156" s="76" t="e">
        <f>#REF!/D156%</f>
        <v>#REF!</v>
      </c>
    </row>
    <row r="157" spans="1:18" s="148" customFormat="1" ht="15" hidden="1">
      <c r="A157" s="74"/>
      <c r="B157" s="75" t="s">
        <v>257</v>
      </c>
      <c r="C157" s="74" t="s">
        <v>258</v>
      </c>
      <c r="D157" s="124">
        <v>1106.35</v>
      </c>
      <c r="E157" s="120"/>
      <c r="F157" s="120"/>
      <c r="G157" s="120"/>
      <c r="H157" s="120"/>
      <c r="I157" s="120"/>
      <c r="J157" s="120"/>
      <c r="K157" s="120"/>
      <c r="L157" s="120"/>
      <c r="M157" s="120"/>
      <c r="N157" s="120"/>
      <c r="O157" s="120"/>
      <c r="P157" s="120"/>
      <c r="Q157" s="120"/>
      <c r="R157" s="76" t="e">
        <f>#REF!/D157%</f>
        <v>#REF!</v>
      </c>
    </row>
    <row r="158" spans="1:18" s="147" customFormat="1" ht="15.75" hidden="1">
      <c r="A158" s="70"/>
      <c r="B158" s="72"/>
      <c r="C158" s="70"/>
      <c r="D158" s="55"/>
      <c r="E158" s="55"/>
      <c r="F158" s="55"/>
      <c r="G158" s="55"/>
      <c r="H158" s="55"/>
      <c r="I158" s="55"/>
      <c r="J158" s="55"/>
      <c r="K158" s="55"/>
      <c r="L158" s="55"/>
      <c r="M158" s="55"/>
      <c r="N158" s="55"/>
      <c r="O158" s="55"/>
      <c r="P158" s="55"/>
      <c r="Q158" s="55"/>
      <c r="R158" s="76"/>
    </row>
    <row r="159" spans="1:18" s="147" customFormat="1" ht="15.75" hidden="1">
      <c r="A159" s="74"/>
      <c r="B159" s="77"/>
      <c r="C159" s="74"/>
      <c r="D159" s="56"/>
      <c r="E159" s="56"/>
      <c r="F159" s="56"/>
      <c r="G159" s="56"/>
      <c r="H159" s="56"/>
      <c r="I159" s="56"/>
      <c r="J159" s="56"/>
      <c r="K159" s="56"/>
      <c r="L159" s="56"/>
      <c r="M159" s="56"/>
      <c r="N159" s="56"/>
      <c r="O159" s="56"/>
      <c r="P159" s="56"/>
      <c r="Q159" s="56"/>
      <c r="R159" s="76"/>
    </row>
    <row r="160" spans="1:18" s="147" customFormat="1" ht="15.75" hidden="1">
      <c r="A160" s="74"/>
      <c r="B160" s="77"/>
      <c r="C160" s="74"/>
      <c r="D160" s="56"/>
      <c r="E160" s="56"/>
      <c r="F160" s="56"/>
      <c r="G160" s="56"/>
      <c r="H160" s="56"/>
      <c r="I160" s="56"/>
      <c r="J160" s="56"/>
      <c r="K160" s="56"/>
      <c r="L160" s="56"/>
      <c r="M160" s="56"/>
      <c r="N160" s="56"/>
      <c r="O160" s="56"/>
      <c r="P160" s="56"/>
      <c r="Q160" s="56"/>
      <c r="R160" s="76"/>
    </row>
    <row r="161" spans="1:18" s="147" customFormat="1" ht="15.75" hidden="1">
      <c r="A161" s="83"/>
      <c r="B161" s="84"/>
      <c r="C161" s="83"/>
      <c r="D161" s="59"/>
      <c r="E161" s="59"/>
      <c r="F161" s="59"/>
      <c r="G161" s="59"/>
      <c r="H161" s="59"/>
      <c r="I161" s="59"/>
      <c r="J161" s="59"/>
      <c r="K161" s="59"/>
      <c r="L161" s="59"/>
      <c r="M161" s="59"/>
      <c r="N161" s="59"/>
      <c r="O161" s="59"/>
      <c r="P161" s="59"/>
      <c r="Q161" s="59"/>
      <c r="R161" s="85"/>
    </row>
    <row r="162" spans="1:18" ht="18">
      <c r="A162" s="149"/>
      <c r="B162" s="150"/>
      <c r="C162" s="149"/>
      <c r="D162" s="61"/>
      <c r="E162" s="61"/>
      <c r="F162" s="150"/>
      <c r="G162" s="150"/>
      <c r="H162" s="150"/>
      <c r="I162" s="150"/>
      <c r="J162" s="150"/>
      <c r="K162" s="150"/>
      <c r="L162" s="150"/>
      <c r="M162" s="150"/>
      <c r="N162" s="150"/>
      <c r="O162" s="150"/>
      <c r="P162" s="150"/>
      <c r="Q162" s="150"/>
      <c r="R162" s="150"/>
    </row>
    <row r="163" spans="1:18" ht="18">
      <c r="A163" s="726"/>
      <c r="B163" s="727"/>
      <c r="C163" s="727"/>
      <c r="D163" s="727"/>
      <c r="E163" s="727"/>
      <c r="F163" s="727"/>
      <c r="G163" s="727"/>
      <c r="H163" s="727"/>
      <c r="I163" s="727"/>
      <c r="J163" s="727"/>
      <c r="K163" s="727"/>
      <c r="L163" s="727"/>
      <c r="M163" s="727"/>
      <c r="N163" s="727"/>
      <c r="O163" s="727"/>
      <c r="P163" s="727"/>
      <c r="Q163" s="727"/>
      <c r="R163" s="727"/>
    </row>
    <row r="164" spans="1:18" ht="18">
      <c r="A164" s="149"/>
      <c r="B164" s="150"/>
      <c r="C164" s="149"/>
      <c r="D164" s="61"/>
      <c r="E164" s="61"/>
      <c r="F164" s="150"/>
      <c r="G164" s="150"/>
      <c r="H164" s="150"/>
      <c r="I164" s="150"/>
      <c r="J164" s="150"/>
      <c r="K164" s="150"/>
      <c r="L164" s="150"/>
      <c r="M164" s="150"/>
      <c r="N164" s="150"/>
      <c r="O164" s="150"/>
      <c r="P164" s="150"/>
      <c r="Q164" s="150"/>
      <c r="R164" s="150"/>
    </row>
    <row r="165" spans="1:18" ht="18">
      <c r="A165" s="149"/>
      <c r="B165" s="150"/>
      <c r="C165" s="149"/>
      <c r="D165" s="61"/>
      <c r="E165" s="61"/>
      <c r="F165" s="150"/>
      <c r="G165" s="150"/>
      <c r="H165" s="150"/>
      <c r="I165" s="150"/>
      <c r="J165" s="150"/>
      <c r="K165" s="150"/>
      <c r="L165" s="150"/>
      <c r="M165" s="150"/>
      <c r="N165" s="150"/>
      <c r="O165" s="150"/>
      <c r="P165" s="150"/>
      <c r="Q165" s="150"/>
      <c r="R165" s="150"/>
    </row>
  </sheetData>
  <sheetProtection/>
  <mergeCells count="12">
    <mergeCell ref="D5:D7"/>
    <mergeCell ref="E5:Q5"/>
    <mergeCell ref="F6:Q6"/>
    <mergeCell ref="R6:R7"/>
    <mergeCell ref="E6:E7"/>
    <mergeCell ref="A163:R163"/>
    <mergeCell ref="A1:B1"/>
    <mergeCell ref="A2:R2"/>
    <mergeCell ref="A3:R3"/>
    <mergeCell ref="A5:A7"/>
    <mergeCell ref="B5:B7"/>
    <mergeCell ref="C5:C7"/>
  </mergeCells>
  <printOptions/>
  <pageMargins left="0.5" right="0.25" top="1" bottom="0.5" header="0" footer="0"/>
  <pageSetup fitToHeight="4" fitToWidth="4"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G8" sqref="G8"/>
    </sheetView>
  </sheetViews>
  <sheetFormatPr defaultColWidth="9.140625" defaultRowHeight="12.75"/>
  <cols>
    <col min="1" max="1" width="5.00390625" style="62" customWidth="1"/>
    <col min="2" max="2" width="40.8515625" style="52" customWidth="1"/>
    <col min="3" max="3" width="14.57421875" style="62" customWidth="1"/>
    <col min="4" max="4" width="12.421875" style="52" customWidth="1"/>
    <col min="5" max="5" width="11.28125" style="52" customWidth="1"/>
    <col min="6" max="6" width="16.00390625" style="52" customWidth="1"/>
    <col min="7" max="7" width="7.421875" style="52" customWidth="1"/>
    <col min="8" max="9" width="9.140625" style="52" customWidth="1"/>
    <col min="10" max="10" width="16.140625" style="52" bestFit="1" customWidth="1"/>
    <col min="11" max="16384" width="9.140625" style="52" customWidth="1"/>
  </cols>
  <sheetData>
    <row r="1" spans="1:6" ht="18.75" customHeight="1">
      <c r="A1" s="740" t="s">
        <v>191</v>
      </c>
      <c r="B1" s="740"/>
      <c r="C1" s="51"/>
      <c r="D1" s="51"/>
      <c r="E1" s="51"/>
      <c r="F1" s="51"/>
    </row>
    <row r="2" spans="1:7" s="54" customFormat="1" ht="18" customHeight="1">
      <c r="A2" s="736" t="s">
        <v>725</v>
      </c>
      <c r="B2" s="736"/>
      <c r="C2" s="736"/>
      <c r="D2" s="736"/>
      <c r="E2" s="736"/>
      <c r="F2" s="736"/>
      <c r="G2" s="736"/>
    </row>
    <row r="3" spans="1:7" ht="18" customHeight="1">
      <c r="A3" s="737" t="s">
        <v>755</v>
      </c>
      <c r="B3" s="737"/>
      <c r="C3" s="737"/>
      <c r="D3" s="737"/>
      <c r="E3" s="737"/>
      <c r="F3" s="737"/>
      <c r="G3" s="737"/>
    </row>
    <row r="4" spans="1:6" ht="19.5" customHeight="1">
      <c r="A4" s="68"/>
      <c r="B4" s="69"/>
      <c r="C4" s="69"/>
      <c r="D4" s="53"/>
      <c r="E4" s="53"/>
      <c r="F4" s="53"/>
    </row>
    <row r="5" spans="1:7" s="88" customFormat="1" ht="24.75" customHeight="1">
      <c r="A5" s="735" t="s">
        <v>724</v>
      </c>
      <c r="B5" s="741" t="s">
        <v>52</v>
      </c>
      <c r="C5" s="741" t="s">
        <v>194</v>
      </c>
      <c r="D5" s="735" t="s">
        <v>583</v>
      </c>
      <c r="E5" s="738" t="s">
        <v>581</v>
      </c>
      <c r="F5" s="442" t="s">
        <v>756</v>
      </c>
      <c r="G5" s="735" t="s">
        <v>51</v>
      </c>
    </row>
    <row r="6" spans="1:7" s="88" customFormat="1" ht="18" customHeight="1">
      <c r="A6" s="741"/>
      <c r="B6" s="741"/>
      <c r="C6" s="741"/>
      <c r="D6" s="735"/>
      <c r="E6" s="739"/>
      <c r="F6" s="738" t="s">
        <v>582</v>
      </c>
      <c r="G6" s="735"/>
    </row>
    <row r="7" spans="1:7" s="88" customFormat="1" ht="61.5" customHeight="1">
      <c r="A7" s="741"/>
      <c r="B7" s="741"/>
      <c r="C7" s="741"/>
      <c r="D7" s="735"/>
      <c r="E7" s="739"/>
      <c r="F7" s="739"/>
      <c r="G7" s="735"/>
    </row>
    <row r="8" spans="1:7" s="492" customFormat="1" ht="30" customHeight="1">
      <c r="A8" s="204" t="s">
        <v>189</v>
      </c>
      <c r="B8" s="204" t="s">
        <v>227</v>
      </c>
      <c r="C8" s="204"/>
      <c r="D8" s="491"/>
      <c r="E8" s="491"/>
      <c r="F8" s="491"/>
      <c r="G8" s="491"/>
    </row>
    <row r="9" spans="1:7" s="492" customFormat="1" ht="30" customHeight="1">
      <c r="A9" s="204">
        <v>1</v>
      </c>
      <c r="B9" s="515" t="s">
        <v>589</v>
      </c>
      <c r="C9" s="204" t="s">
        <v>586</v>
      </c>
      <c r="D9" s="493">
        <v>125</v>
      </c>
      <c r="E9" s="493">
        <v>130</v>
      </c>
      <c r="F9" s="494">
        <f>E9/D9*100</f>
        <v>104</v>
      </c>
      <c r="G9" s="491"/>
    </row>
    <row r="10" spans="1:7" s="492" customFormat="1" ht="30" customHeight="1">
      <c r="A10" s="204">
        <v>2</v>
      </c>
      <c r="B10" s="515" t="s">
        <v>347</v>
      </c>
      <c r="C10" s="204"/>
      <c r="D10" s="495"/>
      <c r="E10" s="495"/>
      <c r="F10" s="496"/>
      <c r="G10" s="491"/>
    </row>
    <row r="11" spans="1:7" s="500" customFormat="1" ht="30" customHeight="1">
      <c r="A11" s="451"/>
      <c r="B11" s="516" t="s">
        <v>399</v>
      </c>
      <c r="C11" s="451" t="s">
        <v>236</v>
      </c>
      <c r="D11" s="376">
        <v>9.3</v>
      </c>
      <c r="E11" s="497">
        <v>0</v>
      </c>
      <c r="F11" s="498"/>
      <c r="G11" s="499"/>
    </row>
    <row r="12" spans="1:7" s="500" customFormat="1" ht="30" customHeight="1">
      <c r="A12" s="451"/>
      <c r="B12" s="516" t="s">
        <v>418</v>
      </c>
      <c r="C12" s="451" t="s">
        <v>304</v>
      </c>
      <c r="D12" s="375">
        <v>22.5</v>
      </c>
      <c r="E12" s="497">
        <v>50</v>
      </c>
      <c r="F12" s="498">
        <f>E12/D12*100</f>
        <v>222.22222222222223</v>
      </c>
      <c r="G12" s="499"/>
    </row>
    <row r="13" spans="1:7" s="500" customFormat="1" ht="30" customHeight="1">
      <c r="A13" s="451"/>
      <c r="B13" s="516" t="s">
        <v>321</v>
      </c>
      <c r="C13" s="451" t="s">
        <v>588</v>
      </c>
      <c r="D13" s="375">
        <v>6</v>
      </c>
      <c r="E13" s="501">
        <v>6.5</v>
      </c>
      <c r="F13" s="498">
        <f>E13/D13*100</f>
        <v>108.33333333333333</v>
      </c>
      <c r="G13" s="499"/>
    </row>
    <row r="14" spans="1:7" s="500" customFormat="1" ht="30" customHeight="1">
      <c r="A14" s="451"/>
      <c r="B14" s="516" t="s">
        <v>348</v>
      </c>
      <c r="C14" s="451" t="s">
        <v>587</v>
      </c>
      <c r="D14" s="502">
        <v>0.448</v>
      </c>
      <c r="E14" s="503">
        <v>0.5</v>
      </c>
      <c r="F14" s="504">
        <f>E14/D14*100</f>
        <v>111.60714285714286</v>
      </c>
      <c r="G14" s="499"/>
    </row>
    <row r="15" spans="1:10" s="492" customFormat="1" ht="30" customHeight="1">
      <c r="A15" s="204" t="s">
        <v>3</v>
      </c>
      <c r="B15" s="515" t="s">
        <v>349</v>
      </c>
      <c r="C15" s="204"/>
      <c r="D15" s="505"/>
      <c r="E15" s="505"/>
      <c r="F15" s="496"/>
      <c r="G15" s="505"/>
      <c r="J15" s="506"/>
    </row>
    <row r="16" spans="1:10" s="500" customFormat="1" ht="30" customHeight="1">
      <c r="A16" s="451"/>
      <c r="B16" s="516" t="s">
        <v>590</v>
      </c>
      <c r="C16" s="451" t="s">
        <v>586</v>
      </c>
      <c r="D16" s="507">
        <v>558.55</v>
      </c>
      <c r="E16" s="508">
        <v>630</v>
      </c>
      <c r="F16" s="498">
        <f>E16/D16*100</f>
        <v>112.7920508459404</v>
      </c>
      <c r="G16" s="509"/>
      <c r="J16" s="510"/>
    </row>
    <row r="17" spans="1:10" s="492" customFormat="1" ht="30" customHeight="1">
      <c r="A17" s="204" t="s">
        <v>190</v>
      </c>
      <c r="B17" s="515" t="s">
        <v>350</v>
      </c>
      <c r="C17" s="204"/>
      <c r="D17" s="505"/>
      <c r="E17" s="505"/>
      <c r="F17" s="491"/>
      <c r="G17" s="505"/>
      <c r="J17" s="511"/>
    </row>
    <row r="18" spans="1:10" s="500" customFormat="1" ht="30" customHeight="1">
      <c r="A18" s="451">
        <v>1</v>
      </c>
      <c r="B18" s="516" t="s">
        <v>251</v>
      </c>
      <c r="C18" s="451"/>
      <c r="D18" s="509"/>
      <c r="E18" s="509"/>
      <c r="F18" s="491"/>
      <c r="G18" s="509"/>
      <c r="J18" s="510"/>
    </row>
    <row r="19" spans="1:10" s="500" customFormat="1" ht="30" customHeight="1">
      <c r="A19" s="451"/>
      <c r="B19" s="516" t="s">
        <v>252</v>
      </c>
      <c r="C19" s="451" t="s">
        <v>591</v>
      </c>
      <c r="D19" s="512">
        <v>4.98</v>
      </c>
      <c r="E19" s="513">
        <v>5.1</v>
      </c>
      <c r="F19" s="514">
        <f>E19/D19*100</f>
        <v>102.40963855421685</v>
      </c>
      <c r="G19" s="509"/>
      <c r="J19" s="510"/>
    </row>
    <row r="20" spans="1:7" s="500" customFormat="1" ht="30" customHeight="1">
      <c r="A20" s="451"/>
      <c r="B20" s="516" t="s">
        <v>253</v>
      </c>
      <c r="C20" s="451" t="s">
        <v>585</v>
      </c>
      <c r="D20" s="512">
        <v>116.21</v>
      </c>
      <c r="E20" s="513">
        <v>119.7</v>
      </c>
      <c r="F20" s="504">
        <f>E20/D20*100</f>
        <v>103.0031838912314</v>
      </c>
      <c r="G20" s="509"/>
    </row>
    <row r="21" spans="1:7" s="500" customFormat="1" ht="30" customHeight="1">
      <c r="A21" s="451">
        <v>2</v>
      </c>
      <c r="B21" s="516" t="s">
        <v>255</v>
      </c>
      <c r="C21" s="451"/>
      <c r="D21" s="509"/>
      <c r="E21" s="509"/>
      <c r="F21" s="491"/>
      <c r="G21" s="509"/>
    </row>
    <row r="22" spans="1:7" s="500" customFormat="1" ht="30" customHeight="1">
      <c r="A22" s="451"/>
      <c r="B22" s="516" t="s">
        <v>256</v>
      </c>
      <c r="C22" s="451" t="s">
        <v>592</v>
      </c>
      <c r="D22" s="513">
        <v>86.5</v>
      </c>
      <c r="E22" s="513">
        <v>89.8</v>
      </c>
      <c r="F22" s="498">
        <f>E22/D22*100</f>
        <v>103.81502890173411</v>
      </c>
      <c r="G22" s="509"/>
    </row>
    <row r="23" spans="1:7" s="500" customFormat="1" ht="30" customHeight="1">
      <c r="A23" s="451"/>
      <c r="B23" s="516" t="s">
        <v>257</v>
      </c>
      <c r="C23" s="451" t="s">
        <v>584</v>
      </c>
      <c r="D23" s="513">
        <v>1906.1</v>
      </c>
      <c r="E23" s="509">
        <v>1980</v>
      </c>
      <c r="F23" s="498">
        <f>E23/D23*100</f>
        <v>103.87702638896177</v>
      </c>
      <c r="G23" s="509"/>
    </row>
    <row r="24" spans="1:6" ht="18">
      <c r="A24" s="60"/>
      <c r="B24" s="61"/>
      <c r="C24" s="60"/>
      <c r="D24" s="61"/>
      <c r="E24" s="61"/>
      <c r="F24" s="61"/>
    </row>
    <row r="25" spans="1:6" ht="18">
      <c r="A25" s="60"/>
      <c r="B25" s="61"/>
      <c r="C25" s="60"/>
      <c r="D25" s="61"/>
      <c r="E25" s="61"/>
      <c r="F25" s="61"/>
    </row>
    <row r="26" spans="1:6" ht="18">
      <c r="A26" s="60"/>
      <c r="B26" s="61"/>
      <c r="C26" s="60"/>
      <c r="D26" s="61"/>
      <c r="E26" s="61"/>
      <c r="F26" s="61"/>
    </row>
    <row r="27" spans="1:6" ht="18">
      <c r="A27" s="60"/>
      <c r="B27" s="61"/>
      <c r="C27" s="60"/>
      <c r="D27" s="61"/>
      <c r="E27" s="61"/>
      <c r="F27" s="61"/>
    </row>
  </sheetData>
  <sheetProtection/>
  <mergeCells count="10">
    <mergeCell ref="G5:G7"/>
    <mergeCell ref="A2:G2"/>
    <mergeCell ref="A3:G3"/>
    <mergeCell ref="D5:D7"/>
    <mergeCell ref="E5:E7"/>
    <mergeCell ref="A1:B1"/>
    <mergeCell ref="A5:A7"/>
    <mergeCell ref="B5:B7"/>
    <mergeCell ref="C5:C7"/>
    <mergeCell ref="F6:F7"/>
  </mergeCells>
  <printOptions/>
  <pageMargins left="0.5" right="0.25" top="0.5" bottom="0.5" header="0" footer="0"/>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W136"/>
  <sheetViews>
    <sheetView view="pageBreakPreview" zoomScale="85" zoomScaleSheetLayoutView="85" zoomScalePageLayoutView="0" workbookViewId="0" topLeftCell="A1">
      <pane ySplit="7" topLeftCell="A38" activePane="bottomLeft" state="frozen"/>
      <selection pane="topLeft" activeCell="A1" sqref="A1"/>
      <selection pane="bottomLeft" activeCell="U41" sqref="U41"/>
    </sheetView>
  </sheetViews>
  <sheetFormatPr defaultColWidth="9.140625" defaultRowHeight="12.75"/>
  <cols>
    <col min="1" max="1" width="5.140625" style="39" customWidth="1"/>
    <col min="2" max="2" width="45.7109375" style="39" customWidth="1"/>
    <col min="3" max="3" width="11.57421875" style="39" customWidth="1"/>
    <col min="4" max="4" width="9.57421875" style="39" customWidth="1"/>
    <col min="5" max="5" width="9.7109375" style="43" customWidth="1"/>
    <col min="6" max="6" width="9.140625" style="49" customWidth="1"/>
    <col min="7" max="8" width="8.8515625" style="49" customWidth="1"/>
    <col min="9" max="9" width="9.57421875" style="49" customWidth="1"/>
    <col min="10" max="10" width="9.140625" style="49" customWidth="1"/>
    <col min="11" max="11" width="9.00390625" style="49" customWidth="1"/>
    <col min="12" max="14" width="8.140625" style="49" customWidth="1"/>
    <col min="15" max="15" width="8.421875" style="49" customWidth="1"/>
    <col min="16" max="16" width="8.57421875" style="49" customWidth="1"/>
    <col min="17" max="17" width="8.28125" style="49" customWidth="1"/>
    <col min="18" max="18" width="13.7109375" style="39" customWidth="1"/>
    <col min="19" max="19" width="13.00390625" style="39" customWidth="1"/>
    <col min="20" max="16384" width="9.140625" style="39" customWidth="1"/>
  </cols>
  <sheetData>
    <row r="1" spans="1:18" s="41" customFormat="1" ht="16.5" customHeight="1">
      <c r="A1" s="38" t="s">
        <v>192</v>
      </c>
      <c r="B1" s="38"/>
      <c r="C1" s="122"/>
      <c r="D1" s="38"/>
      <c r="E1" s="202"/>
      <c r="F1" s="63"/>
      <c r="G1" s="63"/>
      <c r="H1" s="63"/>
      <c r="I1" s="63"/>
      <c r="J1" s="63"/>
      <c r="K1" s="63"/>
      <c r="L1" s="63"/>
      <c r="M1" s="63"/>
      <c r="N1" s="63"/>
      <c r="O1" s="63"/>
      <c r="P1" s="63"/>
      <c r="Q1" s="63"/>
      <c r="R1" s="38"/>
    </row>
    <row r="2" spans="1:18" s="42" customFormat="1" ht="19.5" customHeight="1">
      <c r="A2" s="745" t="s">
        <v>726</v>
      </c>
      <c r="B2" s="745"/>
      <c r="C2" s="745"/>
      <c r="D2" s="745"/>
      <c r="E2" s="745"/>
      <c r="F2" s="745"/>
      <c r="G2" s="745"/>
      <c r="H2" s="745"/>
      <c r="I2" s="745"/>
      <c r="J2" s="745"/>
      <c r="K2" s="745"/>
      <c r="L2" s="745"/>
      <c r="M2" s="745"/>
      <c r="N2" s="745"/>
      <c r="O2" s="745"/>
      <c r="P2" s="745"/>
      <c r="Q2" s="745"/>
      <c r="R2" s="745"/>
    </row>
    <row r="3" spans="1:18" s="42" customFormat="1" ht="20.25" customHeight="1">
      <c r="A3" s="746" t="s">
        <v>755</v>
      </c>
      <c r="B3" s="746"/>
      <c r="C3" s="746"/>
      <c r="D3" s="746"/>
      <c r="E3" s="746"/>
      <c r="F3" s="746"/>
      <c r="G3" s="746"/>
      <c r="H3" s="746"/>
      <c r="I3" s="746"/>
      <c r="J3" s="746"/>
      <c r="K3" s="746"/>
      <c r="L3" s="746"/>
      <c r="M3" s="746"/>
      <c r="N3" s="746"/>
      <c r="O3" s="746"/>
      <c r="P3" s="746"/>
      <c r="Q3" s="746"/>
      <c r="R3" s="746"/>
    </row>
    <row r="4" spans="1:18" ht="16.5" customHeight="1">
      <c r="A4" s="747"/>
      <c r="B4" s="747"/>
      <c r="C4" s="747"/>
      <c r="D4" s="747"/>
      <c r="E4" s="748"/>
      <c r="F4" s="748"/>
      <c r="G4" s="748"/>
      <c r="H4" s="748"/>
      <c r="I4" s="748"/>
      <c r="J4" s="748"/>
      <c r="K4" s="748"/>
      <c r="L4" s="748"/>
      <c r="M4" s="748"/>
      <c r="N4" s="748"/>
      <c r="O4" s="748"/>
      <c r="P4" s="748"/>
      <c r="Q4" s="748"/>
      <c r="R4" s="748"/>
    </row>
    <row r="5" spans="1:18" s="4" customFormat="1" ht="27.75" customHeight="1">
      <c r="A5" s="743" t="s">
        <v>724</v>
      </c>
      <c r="B5" s="744" t="s">
        <v>5</v>
      </c>
      <c r="C5" s="743" t="s">
        <v>0</v>
      </c>
      <c r="D5" s="743" t="s">
        <v>583</v>
      </c>
      <c r="E5" s="742" t="s">
        <v>417</v>
      </c>
      <c r="F5" s="742"/>
      <c r="G5" s="742"/>
      <c r="H5" s="742"/>
      <c r="I5" s="742"/>
      <c r="J5" s="742"/>
      <c r="K5" s="742"/>
      <c r="L5" s="742"/>
      <c r="M5" s="742"/>
      <c r="N5" s="742"/>
      <c r="O5" s="742"/>
      <c r="P5" s="742"/>
      <c r="Q5" s="742"/>
      <c r="R5" s="718" t="s">
        <v>333</v>
      </c>
    </row>
    <row r="6" spans="1:18" s="4" customFormat="1" ht="27.75" customHeight="1">
      <c r="A6" s="744"/>
      <c r="B6" s="744"/>
      <c r="C6" s="743" t="s">
        <v>6</v>
      </c>
      <c r="D6" s="743"/>
      <c r="E6" s="743" t="s">
        <v>2</v>
      </c>
      <c r="F6" s="743" t="s">
        <v>195</v>
      </c>
      <c r="G6" s="743"/>
      <c r="H6" s="743"/>
      <c r="I6" s="743"/>
      <c r="J6" s="743"/>
      <c r="K6" s="743"/>
      <c r="L6" s="743"/>
      <c r="M6" s="743"/>
      <c r="N6" s="743"/>
      <c r="O6" s="743"/>
      <c r="P6" s="743"/>
      <c r="Q6" s="743"/>
      <c r="R6" s="743" t="s">
        <v>582</v>
      </c>
    </row>
    <row r="7" spans="1:18" s="4" customFormat="1" ht="57.75" customHeight="1">
      <c r="A7" s="744"/>
      <c r="B7" s="744"/>
      <c r="C7" s="743"/>
      <c r="D7" s="743"/>
      <c r="E7" s="743"/>
      <c r="F7" s="718" t="s">
        <v>595</v>
      </c>
      <c r="G7" s="718" t="s">
        <v>573</v>
      </c>
      <c r="H7" s="718" t="s">
        <v>596</v>
      </c>
      <c r="I7" s="718" t="s">
        <v>574</v>
      </c>
      <c r="J7" s="718" t="s">
        <v>575</v>
      </c>
      <c r="K7" s="718" t="s">
        <v>576</v>
      </c>
      <c r="L7" s="718" t="s">
        <v>577</v>
      </c>
      <c r="M7" s="718" t="s">
        <v>597</v>
      </c>
      <c r="N7" s="718" t="s">
        <v>578</v>
      </c>
      <c r="O7" s="718" t="s">
        <v>579</v>
      </c>
      <c r="P7" s="718" t="s">
        <v>593</v>
      </c>
      <c r="Q7" s="718" t="s">
        <v>594</v>
      </c>
      <c r="R7" s="744"/>
    </row>
    <row r="8" spans="1:19" s="518" customFormat="1" ht="24" customHeight="1">
      <c r="A8" s="541"/>
      <c r="B8" s="564" t="s">
        <v>7</v>
      </c>
      <c r="C8" s="562" t="s">
        <v>8</v>
      </c>
      <c r="D8" s="572">
        <f>D10+D11</f>
        <v>57729</v>
      </c>
      <c r="E8" s="573">
        <f>SUM(F8:Q8)</f>
        <v>58952</v>
      </c>
      <c r="F8" s="573">
        <f>F10</f>
        <v>8808</v>
      </c>
      <c r="G8" s="573">
        <f>G11</f>
        <v>5281</v>
      </c>
      <c r="H8" s="573">
        <f aca="true" t="shared" si="0" ref="H8:Q8">H11</f>
        <v>7082</v>
      </c>
      <c r="I8" s="573">
        <f t="shared" si="0"/>
        <v>3977</v>
      </c>
      <c r="J8" s="573">
        <f t="shared" si="0"/>
        <v>5559</v>
      </c>
      <c r="K8" s="573">
        <f t="shared" si="0"/>
        <v>6567</v>
      </c>
      <c r="L8" s="573">
        <f t="shared" si="0"/>
        <v>3436</v>
      </c>
      <c r="M8" s="573">
        <f t="shared" si="0"/>
        <v>3750</v>
      </c>
      <c r="N8" s="573">
        <f t="shared" si="0"/>
        <v>2594</v>
      </c>
      <c r="O8" s="573">
        <f t="shared" si="0"/>
        <v>4095</v>
      </c>
      <c r="P8" s="573">
        <f t="shared" si="0"/>
        <v>5060</v>
      </c>
      <c r="Q8" s="573">
        <f t="shared" si="0"/>
        <v>2743</v>
      </c>
      <c r="R8" s="574">
        <f>E8/D8*100</f>
        <v>102.11851928839923</v>
      </c>
      <c r="S8" s="517"/>
    </row>
    <row r="9" spans="1:19" s="519" customFormat="1" ht="24" customHeight="1">
      <c r="A9" s="542"/>
      <c r="B9" s="545" t="s">
        <v>265</v>
      </c>
      <c r="C9" s="569" t="s">
        <v>150</v>
      </c>
      <c r="D9" s="575">
        <v>28282</v>
      </c>
      <c r="E9" s="546">
        <f>SUM(F9:Q9)</f>
        <v>28906</v>
      </c>
      <c r="F9" s="576">
        <v>4381</v>
      </c>
      <c r="G9" s="576">
        <v>2580</v>
      </c>
      <c r="H9" s="576">
        <v>3491</v>
      </c>
      <c r="I9" s="576">
        <v>1985</v>
      </c>
      <c r="J9" s="576">
        <v>2763</v>
      </c>
      <c r="K9" s="576">
        <v>3065</v>
      </c>
      <c r="L9" s="576">
        <v>1770</v>
      </c>
      <c r="M9" s="576">
        <v>1839</v>
      </c>
      <c r="N9" s="576">
        <v>1191</v>
      </c>
      <c r="O9" s="576">
        <v>1986</v>
      </c>
      <c r="P9" s="576">
        <v>2550</v>
      </c>
      <c r="Q9" s="576">
        <v>1305</v>
      </c>
      <c r="R9" s="577">
        <f>E9/D9*100</f>
        <v>102.20635032883105</v>
      </c>
      <c r="S9" s="520"/>
    </row>
    <row r="10" spans="1:22" s="519" customFormat="1" ht="24" customHeight="1">
      <c r="A10" s="544"/>
      <c r="B10" s="545" t="s">
        <v>266</v>
      </c>
      <c r="C10" s="563" t="s">
        <v>8</v>
      </c>
      <c r="D10" s="575">
        <v>3834</v>
      </c>
      <c r="E10" s="575">
        <f>SUM(F10:Q10)</f>
        <v>8808</v>
      </c>
      <c r="F10" s="576">
        <f>3955+4853</f>
        <v>8808</v>
      </c>
      <c r="G10" s="576"/>
      <c r="H10" s="576"/>
      <c r="I10" s="576"/>
      <c r="J10" s="576"/>
      <c r="K10" s="576"/>
      <c r="L10" s="576"/>
      <c r="M10" s="576"/>
      <c r="N10" s="576"/>
      <c r="O10" s="576"/>
      <c r="P10" s="576"/>
      <c r="Q10" s="576"/>
      <c r="R10" s="577">
        <f>E10/D10*100</f>
        <v>229.7339593114241</v>
      </c>
      <c r="S10" s="520"/>
      <c r="V10" s="521"/>
    </row>
    <row r="11" spans="1:22" s="519" customFormat="1" ht="24" customHeight="1">
      <c r="A11" s="544"/>
      <c r="B11" s="545" t="s">
        <v>9</v>
      </c>
      <c r="C11" s="563" t="s">
        <v>8</v>
      </c>
      <c r="D11" s="575">
        <v>53895</v>
      </c>
      <c r="E11" s="575">
        <f>SUM(F11:Q11)</f>
        <v>50144</v>
      </c>
      <c r="F11" s="575"/>
      <c r="G11" s="575">
        <f>10134-4853</f>
        <v>5281</v>
      </c>
      <c r="H11" s="575">
        <v>7082</v>
      </c>
      <c r="I11" s="575">
        <v>3977</v>
      </c>
      <c r="J11" s="575">
        <v>5559</v>
      </c>
      <c r="K11" s="575">
        <v>6567</v>
      </c>
      <c r="L11" s="575">
        <v>3436</v>
      </c>
      <c r="M11" s="575">
        <v>3750</v>
      </c>
      <c r="N11" s="575">
        <v>2594</v>
      </c>
      <c r="O11" s="575">
        <v>4095</v>
      </c>
      <c r="P11" s="575">
        <v>5060</v>
      </c>
      <c r="Q11" s="575">
        <v>2743</v>
      </c>
      <c r="R11" s="577">
        <f>E11/D11*100</f>
        <v>93.04017070229149</v>
      </c>
      <c r="S11" s="520"/>
      <c r="V11" s="521"/>
    </row>
    <row r="12" spans="1:19" s="522" customFormat="1" ht="24" customHeight="1">
      <c r="A12" s="542" t="s">
        <v>180</v>
      </c>
      <c r="B12" s="564" t="s">
        <v>10</v>
      </c>
      <c r="C12" s="562"/>
      <c r="D12" s="578"/>
      <c r="E12" s="579"/>
      <c r="F12" s="579"/>
      <c r="G12" s="573"/>
      <c r="H12" s="573"/>
      <c r="I12" s="573"/>
      <c r="J12" s="573"/>
      <c r="K12" s="573"/>
      <c r="L12" s="573"/>
      <c r="M12" s="573"/>
      <c r="N12" s="573"/>
      <c r="O12" s="573"/>
      <c r="P12" s="573"/>
      <c r="Q12" s="573"/>
      <c r="R12" s="580"/>
      <c r="S12" s="520"/>
    </row>
    <row r="13" spans="1:20" s="519" customFormat="1" ht="24" customHeight="1">
      <c r="A13" s="544">
        <v>1</v>
      </c>
      <c r="B13" s="545" t="s">
        <v>654</v>
      </c>
      <c r="C13" s="563" t="s">
        <v>653</v>
      </c>
      <c r="D13" s="575">
        <v>33192</v>
      </c>
      <c r="E13" s="546">
        <f>SUM(F13:Q13)</f>
        <v>34191.8208</v>
      </c>
      <c r="F13" s="576">
        <f>F10*65.46%</f>
        <v>5765.716799999999</v>
      </c>
      <c r="G13" s="576">
        <f>G11*58.4%</f>
        <v>3084.104</v>
      </c>
      <c r="H13" s="576">
        <v>4070</v>
      </c>
      <c r="I13" s="576">
        <v>2201</v>
      </c>
      <c r="J13" s="576">
        <v>3134</v>
      </c>
      <c r="K13" s="576">
        <v>3630</v>
      </c>
      <c r="L13" s="576">
        <v>2005</v>
      </c>
      <c r="M13" s="576">
        <v>2185</v>
      </c>
      <c r="N13" s="576">
        <v>1429</v>
      </c>
      <c r="O13" s="576">
        <v>2346</v>
      </c>
      <c r="P13" s="576">
        <v>2745</v>
      </c>
      <c r="Q13" s="576">
        <v>1597</v>
      </c>
      <c r="R13" s="575">
        <f>E13/D13*100</f>
        <v>103.01223427331887</v>
      </c>
      <c r="S13" s="520"/>
      <c r="T13" s="520"/>
    </row>
    <row r="14" spans="1:19" s="519" customFormat="1" ht="24" customHeight="1">
      <c r="A14" s="544"/>
      <c r="B14" s="545" t="s">
        <v>12</v>
      </c>
      <c r="C14" s="563" t="s">
        <v>13</v>
      </c>
      <c r="D14" s="580">
        <f aca="true" t="shared" si="1" ref="D14:Q14">D13/D8*100</f>
        <v>57.49623239619602</v>
      </c>
      <c r="E14" s="575">
        <f t="shared" si="1"/>
        <v>57.99942461663726</v>
      </c>
      <c r="F14" s="580">
        <f t="shared" si="1"/>
        <v>65.46</v>
      </c>
      <c r="G14" s="580">
        <f t="shared" si="1"/>
        <v>58.4</v>
      </c>
      <c r="H14" s="580">
        <f t="shared" si="1"/>
        <v>57.469641344253034</v>
      </c>
      <c r="I14" s="580">
        <f t="shared" si="1"/>
        <v>55.343223535328136</v>
      </c>
      <c r="J14" s="580">
        <f t="shared" si="1"/>
        <v>56.37704623133657</v>
      </c>
      <c r="K14" s="580">
        <f t="shared" si="1"/>
        <v>55.27638190954774</v>
      </c>
      <c r="L14" s="580">
        <f t="shared" si="1"/>
        <v>58.35273573923166</v>
      </c>
      <c r="M14" s="580">
        <f t="shared" si="1"/>
        <v>58.266666666666666</v>
      </c>
      <c r="N14" s="580">
        <f t="shared" si="1"/>
        <v>55.08866615265998</v>
      </c>
      <c r="O14" s="580">
        <f t="shared" si="1"/>
        <v>57.289377289377285</v>
      </c>
      <c r="P14" s="580">
        <f t="shared" si="1"/>
        <v>54.24901185770751</v>
      </c>
      <c r="Q14" s="580">
        <f t="shared" si="1"/>
        <v>58.220925993437845</v>
      </c>
      <c r="R14" s="580">
        <f>E14-D14</f>
        <v>0.5031922204412425</v>
      </c>
      <c r="S14" s="524"/>
    </row>
    <row r="15" spans="1:19" s="519" customFormat="1" ht="24" customHeight="1">
      <c r="A15" s="544"/>
      <c r="B15" s="545" t="s">
        <v>14</v>
      </c>
      <c r="C15" s="563" t="s">
        <v>11</v>
      </c>
      <c r="D15" s="575">
        <v>15398</v>
      </c>
      <c r="E15" s="546">
        <f>SUM(F15:Q15)</f>
        <v>15398</v>
      </c>
      <c r="F15" s="575">
        <v>1714</v>
      </c>
      <c r="G15" s="575">
        <v>2661</v>
      </c>
      <c r="H15" s="575">
        <v>1716</v>
      </c>
      <c r="I15" s="575">
        <v>967</v>
      </c>
      <c r="J15" s="575">
        <v>1283</v>
      </c>
      <c r="K15" s="575">
        <v>1543</v>
      </c>
      <c r="L15" s="575">
        <v>958</v>
      </c>
      <c r="M15" s="575">
        <v>987</v>
      </c>
      <c r="N15" s="575">
        <v>603</v>
      </c>
      <c r="O15" s="575">
        <v>1036</v>
      </c>
      <c r="P15" s="575">
        <v>1280</v>
      </c>
      <c r="Q15" s="575">
        <v>650</v>
      </c>
      <c r="R15" s="575">
        <f>E15/D15*100</f>
        <v>100</v>
      </c>
      <c r="S15" s="520"/>
    </row>
    <row r="16" spans="1:19" s="519" customFormat="1" ht="24" customHeight="1">
      <c r="A16" s="544">
        <v>2</v>
      </c>
      <c r="B16" s="545" t="s">
        <v>15</v>
      </c>
      <c r="C16" s="563" t="s">
        <v>653</v>
      </c>
      <c r="D16" s="575"/>
      <c r="E16" s="573"/>
      <c r="F16" s="580"/>
      <c r="G16" s="575"/>
      <c r="H16" s="575"/>
      <c r="I16" s="575"/>
      <c r="J16" s="575"/>
      <c r="K16" s="575"/>
      <c r="L16" s="575"/>
      <c r="M16" s="575"/>
      <c r="N16" s="575"/>
      <c r="O16" s="575"/>
      <c r="P16" s="575"/>
      <c r="Q16" s="575"/>
      <c r="R16" s="580"/>
      <c r="S16" s="520"/>
    </row>
    <row r="17" spans="1:20" s="519" customFormat="1" ht="24" customHeight="1">
      <c r="A17" s="544"/>
      <c r="B17" s="545" t="s">
        <v>16</v>
      </c>
      <c r="C17" s="563" t="s">
        <v>653</v>
      </c>
      <c r="D17" s="575">
        <v>2839</v>
      </c>
      <c r="E17" s="546">
        <f>SUM(F17:Q17)</f>
        <v>5765.716799999999</v>
      </c>
      <c r="F17" s="546">
        <f>F13</f>
        <v>5765.716799999999</v>
      </c>
      <c r="G17" s="546"/>
      <c r="H17" s="546"/>
      <c r="I17" s="546"/>
      <c r="J17" s="546"/>
      <c r="K17" s="546"/>
      <c r="L17" s="546"/>
      <c r="M17" s="546"/>
      <c r="N17" s="546"/>
      <c r="O17" s="546"/>
      <c r="P17" s="546"/>
      <c r="Q17" s="546"/>
      <c r="R17" s="580">
        <f aca="true" t="shared" si="2" ref="R17:R34">E17/D17*100</f>
        <v>203.08970764353643</v>
      </c>
      <c r="S17" s="520"/>
      <c r="T17" s="520"/>
    </row>
    <row r="18" spans="1:20" s="519" customFormat="1" ht="24" customHeight="1">
      <c r="A18" s="544"/>
      <c r="B18" s="545" t="s">
        <v>17</v>
      </c>
      <c r="C18" s="563" t="s">
        <v>653</v>
      </c>
      <c r="D18" s="575">
        <v>30353</v>
      </c>
      <c r="E18" s="575">
        <f>E13-E17</f>
        <v>28426.104000000003</v>
      </c>
      <c r="F18" s="575"/>
      <c r="G18" s="575">
        <f>G13</f>
        <v>3084.104</v>
      </c>
      <c r="H18" s="575">
        <f aca="true" t="shared" si="3" ref="H18:Q18">H13</f>
        <v>4070</v>
      </c>
      <c r="I18" s="575">
        <f t="shared" si="3"/>
        <v>2201</v>
      </c>
      <c r="J18" s="575">
        <f t="shared" si="3"/>
        <v>3134</v>
      </c>
      <c r="K18" s="575">
        <f t="shared" si="3"/>
        <v>3630</v>
      </c>
      <c r="L18" s="575">
        <f t="shared" si="3"/>
        <v>2005</v>
      </c>
      <c r="M18" s="575">
        <f t="shared" si="3"/>
        <v>2185</v>
      </c>
      <c r="N18" s="575">
        <f t="shared" si="3"/>
        <v>1429</v>
      </c>
      <c r="O18" s="575">
        <f t="shared" si="3"/>
        <v>2346</v>
      </c>
      <c r="P18" s="575">
        <f t="shared" si="3"/>
        <v>2745</v>
      </c>
      <c r="Q18" s="575">
        <f t="shared" si="3"/>
        <v>1597</v>
      </c>
      <c r="R18" s="575">
        <f t="shared" si="2"/>
        <v>93.65171152769085</v>
      </c>
      <c r="S18" s="520"/>
      <c r="T18" s="520"/>
    </row>
    <row r="19" spans="1:19" s="519" customFormat="1" ht="24" customHeight="1">
      <c r="A19" s="544">
        <v>3</v>
      </c>
      <c r="B19" s="545" t="s">
        <v>351</v>
      </c>
      <c r="C19" s="563" t="s">
        <v>653</v>
      </c>
      <c r="D19" s="575">
        <v>32092</v>
      </c>
      <c r="E19" s="546">
        <f>SUM(F19:Q19)</f>
        <v>33058.5522512</v>
      </c>
      <c r="F19" s="576">
        <f>F13*96.9%</f>
        <v>5586.9795791999995</v>
      </c>
      <c r="G19" s="576">
        <f>G13*96.8%</f>
        <v>2985.412672</v>
      </c>
      <c r="H19" s="576">
        <f>H13*96.2%</f>
        <v>3915.34</v>
      </c>
      <c r="I19" s="576">
        <f>I13*97%</f>
        <v>2134.97</v>
      </c>
      <c r="J19" s="576">
        <f>J13*96.7%</f>
        <v>3030.5780000000004</v>
      </c>
      <c r="K19" s="576">
        <f>K13*96.5%</f>
        <v>3502.95</v>
      </c>
      <c r="L19" s="576">
        <f>L13*97.2%</f>
        <v>1948.86</v>
      </c>
      <c r="M19" s="576">
        <f>M13*96.3%</f>
        <v>2104.1549999999997</v>
      </c>
      <c r="N19" s="576">
        <f>N13*96.6%</f>
        <v>1380.414</v>
      </c>
      <c r="O19" s="576">
        <f>O13*96.7%</f>
        <v>2268.5820000000003</v>
      </c>
      <c r="P19" s="576">
        <f>P13*96.7%</f>
        <v>2654.4150000000004</v>
      </c>
      <c r="Q19" s="576">
        <f>Q13*96.8%</f>
        <v>1545.896</v>
      </c>
      <c r="R19" s="575">
        <f t="shared" si="2"/>
        <v>103.01181681166646</v>
      </c>
      <c r="S19" s="520"/>
    </row>
    <row r="20" spans="1:19" s="519" customFormat="1" ht="24" customHeight="1">
      <c r="A20" s="544"/>
      <c r="B20" s="545" t="s">
        <v>18</v>
      </c>
      <c r="C20" s="563" t="s">
        <v>13</v>
      </c>
      <c r="D20" s="577">
        <f aca="true" t="shared" si="4" ref="D20:Q20">D19/D13*100</f>
        <v>96.68594842130634</v>
      </c>
      <c r="E20" s="577">
        <f t="shared" si="4"/>
        <v>96.68555659720819</v>
      </c>
      <c r="F20" s="575">
        <f t="shared" si="4"/>
        <v>96.9</v>
      </c>
      <c r="G20" s="580">
        <f t="shared" si="4"/>
        <v>96.80000000000001</v>
      </c>
      <c r="H20" s="580">
        <f t="shared" si="4"/>
        <v>96.2</v>
      </c>
      <c r="I20" s="575">
        <f t="shared" si="4"/>
        <v>96.99999999999999</v>
      </c>
      <c r="J20" s="580">
        <f t="shared" si="4"/>
        <v>96.7</v>
      </c>
      <c r="K20" s="580">
        <f t="shared" si="4"/>
        <v>96.5</v>
      </c>
      <c r="L20" s="580">
        <f t="shared" si="4"/>
        <v>97.2</v>
      </c>
      <c r="M20" s="580">
        <f t="shared" si="4"/>
        <v>96.29999999999998</v>
      </c>
      <c r="N20" s="580">
        <f t="shared" si="4"/>
        <v>96.6</v>
      </c>
      <c r="O20" s="580">
        <f t="shared" si="4"/>
        <v>96.70000000000002</v>
      </c>
      <c r="P20" s="580">
        <f t="shared" si="4"/>
        <v>96.70000000000002</v>
      </c>
      <c r="Q20" s="580">
        <f t="shared" si="4"/>
        <v>96.8</v>
      </c>
      <c r="R20" s="580"/>
      <c r="S20" s="520"/>
    </row>
    <row r="21" spans="1:19" s="519" customFormat="1" ht="24" customHeight="1">
      <c r="A21" s="544"/>
      <c r="B21" s="545" t="s">
        <v>655</v>
      </c>
      <c r="C21" s="563" t="s">
        <v>653</v>
      </c>
      <c r="D21" s="575">
        <v>15597</v>
      </c>
      <c r="E21" s="546">
        <f>SUM(F21:Q21)</f>
        <v>16067.015092041118</v>
      </c>
      <c r="F21" s="576">
        <f>F19*48.61%</f>
        <v>2715.8307734491195</v>
      </c>
      <c r="G21" s="576">
        <f aca="true" t="shared" si="5" ref="G21:Q21">G19*48.6%</f>
        <v>1450.910558592</v>
      </c>
      <c r="H21" s="576">
        <f t="shared" si="5"/>
        <v>1902.85524</v>
      </c>
      <c r="I21" s="576">
        <f t="shared" si="5"/>
        <v>1037.5954199999999</v>
      </c>
      <c r="J21" s="576">
        <f t="shared" si="5"/>
        <v>1472.860908</v>
      </c>
      <c r="K21" s="576">
        <f t="shared" si="5"/>
        <v>1702.4336999999998</v>
      </c>
      <c r="L21" s="576">
        <f t="shared" si="5"/>
        <v>947.14596</v>
      </c>
      <c r="M21" s="576">
        <f t="shared" si="5"/>
        <v>1022.6193299999999</v>
      </c>
      <c r="N21" s="576">
        <f t="shared" si="5"/>
        <v>670.881204</v>
      </c>
      <c r="O21" s="576">
        <f t="shared" si="5"/>
        <v>1102.530852</v>
      </c>
      <c r="P21" s="576">
        <f t="shared" si="5"/>
        <v>1290.0456900000001</v>
      </c>
      <c r="Q21" s="576">
        <f t="shared" si="5"/>
        <v>751.3054559999999</v>
      </c>
      <c r="R21" s="575">
        <f t="shared" si="2"/>
        <v>103.01349677528447</v>
      </c>
      <c r="S21" s="520"/>
    </row>
    <row r="22" spans="1:19" s="519" customFormat="1" ht="38.25" customHeight="1">
      <c r="A22" s="544">
        <v>4</v>
      </c>
      <c r="B22" s="545" t="s">
        <v>656</v>
      </c>
      <c r="C22" s="569" t="s">
        <v>653</v>
      </c>
      <c r="D22" s="575">
        <v>31643</v>
      </c>
      <c r="E22" s="546">
        <f>SUM(F22:Q22)</f>
        <v>32595.7325196832</v>
      </c>
      <c r="F22" s="546">
        <f>F19*F23%</f>
        <v>5508.761865091199</v>
      </c>
      <c r="G22" s="546">
        <f aca="true" t="shared" si="6" ref="G22:Q22">G19*G23%</f>
        <v>2943.616894592</v>
      </c>
      <c r="H22" s="546">
        <f t="shared" si="6"/>
        <v>3860.52524</v>
      </c>
      <c r="I22" s="546">
        <f t="shared" si="6"/>
        <v>2105.08042</v>
      </c>
      <c r="J22" s="546">
        <f t="shared" si="6"/>
        <v>2988.1499080000003</v>
      </c>
      <c r="K22" s="546">
        <f t="shared" si="6"/>
        <v>3453.9087</v>
      </c>
      <c r="L22" s="546">
        <f t="shared" si="6"/>
        <v>1921.57596</v>
      </c>
      <c r="M22" s="546">
        <f t="shared" si="6"/>
        <v>2074.69683</v>
      </c>
      <c r="N22" s="546">
        <f t="shared" si="6"/>
        <v>1361.088204</v>
      </c>
      <c r="O22" s="546">
        <f t="shared" si="6"/>
        <v>2236.8218520000005</v>
      </c>
      <c r="P22" s="546">
        <f t="shared" si="6"/>
        <v>2617.2531900000004</v>
      </c>
      <c r="Q22" s="546">
        <f t="shared" si="6"/>
        <v>1524.253456</v>
      </c>
      <c r="R22" s="575">
        <f t="shared" si="2"/>
        <v>103.01087924559364</v>
      </c>
      <c r="S22" s="520"/>
    </row>
    <row r="23" spans="1:19" s="519" customFormat="1" ht="24" customHeight="1">
      <c r="A23" s="544"/>
      <c r="B23" s="545" t="s">
        <v>352</v>
      </c>
      <c r="C23" s="563" t="s">
        <v>13</v>
      </c>
      <c r="D23" s="580">
        <f>D22/D19*100</f>
        <v>98.60089741991773</v>
      </c>
      <c r="E23" s="580">
        <f>E22/E19*100</f>
        <v>98.6</v>
      </c>
      <c r="F23" s="581">
        <v>98.6</v>
      </c>
      <c r="G23" s="581">
        <v>98.6</v>
      </c>
      <c r="H23" s="581">
        <v>98.6</v>
      </c>
      <c r="I23" s="581">
        <v>98.6</v>
      </c>
      <c r="J23" s="581">
        <v>98.6</v>
      </c>
      <c r="K23" s="581">
        <v>98.6</v>
      </c>
      <c r="L23" s="581">
        <v>98.6</v>
      </c>
      <c r="M23" s="581">
        <v>98.6</v>
      </c>
      <c r="N23" s="581">
        <v>98.6</v>
      </c>
      <c r="O23" s="581">
        <v>98.6</v>
      </c>
      <c r="P23" s="581">
        <v>98.6</v>
      </c>
      <c r="Q23" s="581">
        <v>98.6</v>
      </c>
      <c r="R23" s="580"/>
      <c r="S23" s="520"/>
    </row>
    <row r="24" spans="1:19" s="519" customFormat="1" ht="24" customHeight="1">
      <c r="A24" s="544"/>
      <c r="B24" s="545" t="s">
        <v>22</v>
      </c>
      <c r="C24" s="563" t="s">
        <v>653</v>
      </c>
      <c r="D24" s="575">
        <v>15378</v>
      </c>
      <c r="E24" s="546">
        <f>SUM(F24:Q24)</f>
        <v>15841.526004566036</v>
      </c>
      <c r="F24" s="576">
        <f>F22*48.6%</f>
        <v>2677.2582664343226</v>
      </c>
      <c r="G24" s="576">
        <f aca="true" t="shared" si="7" ref="G24:Q24">G22*48.6%</f>
        <v>1430.597810771712</v>
      </c>
      <c r="H24" s="576">
        <f t="shared" si="7"/>
        <v>1876.21526664</v>
      </c>
      <c r="I24" s="576">
        <f t="shared" si="7"/>
        <v>1023.0690841199998</v>
      </c>
      <c r="J24" s="576">
        <f t="shared" si="7"/>
        <v>1452.2408552880001</v>
      </c>
      <c r="K24" s="576">
        <f t="shared" si="7"/>
        <v>1678.5996281999999</v>
      </c>
      <c r="L24" s="576">
        <f t="shared" si="7"/>
        <v>933.8859165599999</v>
      </c>
      <c r="M24" s="576">
        <f t="shared" si="7"/>
        <v>1008.3026593799999</v>
      </c>
      <c r="N24" s="576">
        <f t="shared" si="7"/>
        <v>661.488867144</v>
      </c>
      <c r="O24" s="576">
        <f t="shared" si="7"/>
        <v>1087.0954200720003</v>
      </c>
      <c r="P24" s="576">
        <f t="shared" si="7"/>
        <v>1271.98505034</v>
      </c>
      <c r="Q24" s="576">
        <f t="shared" si="7"/>
        <v>740.7871796159999</v>
      </c>
      <c r="R24" s="575">
        <f t="shared" si="2"/>
        <v>103.01421514219038</v>
      </c>
      <c r="S24" s="520"/>
    </row>
    <row r="25" spans="1:18" s="519" customFormat="1" ht="24" customHeight="1">
      <c r="A25" s="544" t="s">
        <v>182</v>
      </c>
      <c r="B25" s="545" t="s">
        <v>19</v>
      </c>
      <c r="C25" s="563" t="s">
        <v>653</v>
      </c>
      <c r="D25" s="575">
        <v>8523</v>
      </c>
      <c r="E25" s="546">
        <f>SUM(F25:Q25)</f>
        <v>8781.033311344152</v>
      </c>
      <c r="F25" s="546">
        <f>F26*F22/100</f>
        <v>1740.2178731823099</v>
      </c>
      <c r="G25" s="546">
        <f aca="true" t="shared" si="8" ref="G25:Q25">G26*G22/100</f>
        <v>794.7765615398399</v>
      </c>
      <c r="H25" s="546">
        <f t="shared" si="8"/>
        <v>1023.0391886000001</v>
      </c>
      <c r="I25" s="546">
        <f t="shared" si="8"/>
        <v>557.8463112999999</v>
      </c>
      <c r="J25" s="546">
        <f t="shared" si="8"/>
        <v>782.895275896</v>
      </c>
      <c r="K25" s="546">
        <f t="shared" si="8"/>
        <v>911.8318968</v>
      </c>
      <c r="L25" s="546">
        <f t="shared" si="8"/>
        <v>461.17823039999996</v>
      </c>
      <c r="M25" s="546">
        <f t="shared" si="8"/>
        <v>551.86935678</v>
      </c>
      <c r="N25" s="546">
        <f t="shared" si="8"/>
        <v>299.43940488</v>
      </c>
      <c r="O25" s="546">
        <f t="shared" si="8"/>
        <v>599.4682563360001</v>
      </c>
      <c r="P25" s="546">
        <f t="shared" si="8"/>
        <v>662.16505707</v>
      </c>
      <c r="Q25" s="546">
        <f t="shared" si="8"/>
        <v>396.30589856</v>
      </c>
      <c r="R25" s="575">
        <f t="shared" si="2"/>
        <v>103.02749397329758</v>
      </c>
    </row>
    <row r="26" spans="1:18" s="518" customFormat="1" ht="33.75" customHeight="1">
      <c r="A26" s="540"/>
      <c r="B26" s="545" t="s">
        <v>657</v>
      </c>
      <c r="C26" s="563" t="s">
        <v>13</v>
      </c>
      <c r="D26" s="577">
        <f>D25/D22*100</f>
        <v>26.93486711120943</v>
      </c>
      <c r="E26" s="577">
        <f>E25/E22*100</f>
        <v>26.93921146285531</v>
      </c>
      <c r="F26" s="580">
        <v>31.59</v>
      </c>
      <c r="G26" s="575">
        <v>27</v>
      </c>
      <c r="H26" s="580">
        <v>26.5</v>
      </c>
      <c r="I26" s="580">
        <v>26.5</v>
      </c>
      <c r="J26" s="580">
        <v>26.2</v>
      </c>
      <c r="K26" s="580">
        <v>26.4</v>
      </c>
      <c r="L26" s="575">
        <v>24</v>
      </c>
      <c r="M26" s="580">
        <v>26.6</v>
      </c>
      <c r="N26" s="575">
        <v>22</v>
      </c>
      <c r="O26" s="580">
        <v>26.8</v>
      </c>
      <c r="P26" s="580">
        <v>25.3</v>
      </c>
      <c r="Q26" s="575">
        <v>26</v>
      </c>
      <c r="R26" s="577">
        <v>0.01</v>
      </c>
    </row>
    <row r="27" spans="1:18" s="519" customFormat="1" ht="24" customHeight="1">
      <c r="A27" s="544" t="s">
        <v>183</v>
      </c>
      <c r="B27" s="545" t="s">
        <v>20</v>
      </c>
      <c r="C27" s="563" t="s">
        <v>653</v>
      </c>
      <c r="D27" s="575">
        <v>18619</v>
      </c>
      <c r="E27" s="546">
        <f>SUM(F27:Q27)</f>
        <v>19175.675040436076</v>
      </c>
      <c r="F27" s="575">
        <f>F28*F22/100</f>
        <v>2198.5468603578975</v>
      </c>
      <c r="G27" s="575">
        <f aca="true" t="shared" si="9" ref="G27:Q27">G28*G22/100</f>
        <v>1701.4105650741758</v>
      </c>
      <c r="H27" s="575">
        <f t="shared" si="9"/>
        <v>2219.802013</v>
      </c>
      <c r="I27" s="575">
        <f t="shared" si="9"/>
        <v>1284.0990562</v>
      </c>
      <c r="J27" s="575">
        <f t="shared" si="9"/>
        <v>1801.8543945240003</v>
      </c>
      <c r="K27" s="575">
        <f t="shared" si="9"/>
        <v>2314.118829</v>
      </c>
      <c r="L27" s="575">
        <f t="shared" si="9"/>
        <v>1306.6716528</v>
      </c>
      <c r="M27" s="575">
        <f t="shared" si="9"/>
        <v>1348.5529394999999</v>
      </c>
      <c r="N27" s="575">
        <f t="shared" si="9"/>
        <v>884.7073326</v>
      </c>
      <c r="O27" s="575">
        <f t="shared" si="9"/>
        <v>1386.8295482400003</v>
      </c>
      <c r="P27" s="575">
        <f t="shared" si="9"/>
        <v>1753.5596373</v>
      </c>
      <c r="Q27" s="575">
        <f t="shared" si="9"/>
        <v>975.52221184</v>
      </c>
      <c r="R27" s="575">
        <f t="shared" si="2"/>
        <v>102.98982244178568</v>
      </c>
    </row>
    <row r="28" spans="1:18" s="518" customFormat="1" ht="33.75" customHeight="1">
      <c r="A28" s="540"/>
      <c r="B28" s="545" t="s">
        <v>657</v>
      </c>
      <c r="C28" s="563" t="s">
        <v>13</v>
      </c>
      <c r="D28" s="577">
        <f>D27/D22*100</f>
        <v>58.8408178744114</v>
      </c>
      <c r="E28" s="577">
        <f>E27/E22*100</f>
        <v>58.82879002291692</v>
      </c>
      <c r="F28" s="580">
        <v>39.91</v>
      </c>
      <c r="G28" s="580">
        <v>57.8</v>
      </c>
      <c r="H28" s="580">
        <v>57.5</v>
      </c>
      <c r="I28" s="575">
        <v>61</v>
      </c>
      <c r="J28" s="580">
        <v>60.3</v>
      </c>
      <c r="K28" s="575">
        <v>67</v>
      </c>
      <c r="L28" s="575">
        <v>68</v>
      </c>
      <c r="M28" s="575">
        <v>65</v>
      </c>
      <c r="N28" s="575">
        <v>65</v>
      </c>
      <c r="O28" s="575">
        <v>62</v>
      </c>
      <c r="P28" s="575">
        <v>67</v>
      </c>
      <c r="Q28" s="575">
        <v>64</v>
      </c>
      <c r="R28" s="577">
        <f>E28-D28</f>
        <v>-0.012027851494480046</v>
      </c>
    </row>
    <row r="29" spans="1:18" s="519" customFormat="1" ht="24" customHeight="1">
      <c r="A29" s="543" t="s">
        <v>184</v>
      </c>
      <c r="B29" s="545" t="s">
        <v>21</v>
      </c>
      <c r="C29" s="563" t="s">
        <v>653</v>
      </c>
      <c r="D29" s="575">
        <v>4501</v>
      </c>
      <c r="E29" s="546">
        <f>SUM(F29:Q29)</f>
        <v>4639.024167902976</v>
      </c>
      <c r="F29" s="575">
        <f>F22-F25-F27</f>
        <v>1569.997131550992</v>
      </c>
      <c r="G29" s="575">
        <f aca="true" t="shared" si="10" ref="G29:Q29">G22-G25-G27</f>
        <v>447.4297679779843</v>
      </c>
      <c r="H29" s="575">
        <f t="shared" si="10"/>
        <v>617.6840383999997</v>
      </c>
      <c r="I29" s="575">
        <f t="shared" si="10"/>
        <v>263.13505250000003</v>
      </c>
      <c r="J29" s="575">
        <f t="shared" si="10"/>
        <v>403.40023758000007</v>
      </c>
      <c r="K29" s="575">
        <f t="shared" si="10"/>
        <v>227.95797420000008</v>
      </c>
      <c r="L29" s="575">
        <f t="shared" si="10"/>
        <v>153.72607679999987</v>
      </c>
      <c r="M29" s="575">
        <f t="shared" si="10"/>
        <v>174.2745337199999</v>
      </c>
      <c r="N29" s="575">
        <f t="shared" si="10"/>
        <v>176.94146651999995</v>
      </c>
      <c r="O29" s="575">
        <f t="shared" si="10"/>
        <v>250.52404742399995</v>
      </c>
      <c r="P29" s="575">
        <f t="shared" si="10"/>
        <v>201.5284956300004</v>
      </c>
      <c r="Q29" s="575">
        <f t="shared" si="10"/>
        <v>152.4253455999999</v>
      </c>
      <c r="R29" s="575">
        <f t="shared" si="2"/>
        <v>103.06652228178127</v>
      </c>
    </row>
    <row r="30" spans="1:18" s="519" customFormat="1" ht="33.75" customHeight="1">
      <c r="A30" s="543"/>
      <c r="B30" s="545" t="s">
        <v>657</v>
      </c>
      <c r="C30" s="571" t="s">
        <v>13</v>
      </c>
      <c r="D30" s="577">
        <f>D29/D22*100</f>
        <v>14.224315014379169</v>
      </c>
      <c r="E30" s="577">
        <f>E29/E22*100</f>
        <v>14.231998514227787</v>
      </c>
      <c r="F30" s="580">
        <f>100-F28-F26</f>
        <v>28.500000000000004</v>
      </c>
      <c r="G30" s="580">
        <f aca="true" t="shared" si="11" ref="G30:Q30">100-G28-G26</f>
        <v>15.200000000000003</v>
      </c>
      <c r="H30" s="575">
        <f t="shared" si="11"/>
        <v>16</v>
      </c>
      <c r="I30" s="580">
        <f t="shared" si="11"/>
        <v>12.5</v>
      </c>
      <c r="J30" s="580">
        <f t="shared" si="11"/>
        <v>13.500000000000004</v>
      </c>
      <c r="K30" s="580">
        <f t="shared" si="11"/>
        <v>6.600000000000001</v>
      </c>
      <c r="L30" s="575">
        <f t="shared" si="11"/>
        <v>8</v>
      </c>
      <c r="M30" s="580">
        <f t="shared" si="11"/>
        <v>8.399999999999999</v>
      </c>
      <c r="N30" s="575">
        <f t="shared" si="11"/>
        <v>13</v>
      </c>
      <c r="O30" s="580">
        <f t="shared" si="11"/>
        <v>11.2</v>
      </c>
      <c r="P30" s="580">
        <f t="shared" si="11"/>
        <v>7.699999999999999</v>
      </c>
      <c r="Q30" s="575">
        <f t="shared" si="11"/>
        <v>10</v>
      </c>
      <c r="R30" s="577">
        <f>E30-D30</f>
        <v>0.007683499848617714</v>
      </c>
    </row>
    <row r="31" spans="1:18" s="519" customFormat="1" ht="24" customHeight="1">
      <c r="A31" s="544">
        <v>5</v>
      </c>
      <c r="B31" s="565" t="s">
        <v>658</v>
      </c>
      <c r="C31" s="563" t="s">
        <v>653</v>
      </c>
      <c r="D31" s="575">
        <v>8968</v>
      </c>
      <c r="E31" s="546">
        <f>SUM(F31:Q31)</f>
        <v>11123.430370944001</v>
      </c>
      <c r="F31" s="546">
        <f>F32*F19/100</f>
        <v>4860.672233904</v>
      </c>
      <c r="G31" s="546">
        <f aca="true" t="shared" si="12" ref="G31:Q31">G32*G19/100</f>
        <v>955.33205504</v>
      </c>
      <c r="H31" s="546">
        <f t="shared" si="12"/>
        <v>900.5282000000001</v>
      </c>
      <c r="I31" s="546">
        <f t="shared" si="12"/>
        <v>597.7916</v>
      </c>
      <c r="J31" s="546">
        <f t="shared" si="12"/>
        <v>575.8098200000001</v>
      </c>
      <c r="K31" s="546">
        <f t="shared" si="12"/>
        <v>805.6784999999999</v>
      </c>
      <c r="L31" s="546">
        <f t="shared" si="12"/>
        <v>604.1465999999999</v>
      </c>
      <c r="M31" s="546">
        <f t="shared" si="12"/>
        <v>378.74789999999996</v>
      </c>
      <c r="N31" s="546">
        <f t="shared" si="12"/>
        <v>165.64968000000002</v>
      </c>
      <c r="O31" s="546">
        <f t="shared" si="12"/>
        <v>453.7164000000001</v>
      </c>
      <c r="P31" s="546">
        <f t="shared" si="12"/>
        <v>451.2505500000001</v>
      </c>
      <c r="Q31" s="546">
        <f t="shared" si="12"/>
        <v>374.106832</v>
      </c>
      <c r="R31" s="575">
        <f t="shared" si="2"/>
        <v>124.03468299446922</v>
      </c>
    </row>
    <row r="32" spans="1:18" s="519" customFormat="1" ht="33.75" customHeight="1">
      <c r="A32" s="544"/>
      <c r="B32" s="565" t="s">
        <v>659</v>
      </c>
      <c r="C32" s="571" t="s">
        <v>13</v>
      </c>
      <c r="D32" s="577">
        <f>D31/D19*100</f>
        <v>27.944659105072915</v>
      </c>
      <c r="E32" s="577">
        <f>E31/E19*100</f>
        <v>33.64766335325597</v>
      </c>
      <c r="F32" s="575">
        <v>87</v>
      </c>
      <c r="G32" s="575">
        <v>32</v>
      </c>
      <c r="H32" s="575">
        <v>23</v>
      </c>
      <c r="I32" s="580">
        <v>28</v>
      </c>
      <c r="J32" s="575">
        <v>19</v>
      </c>
      <c r="K32" s="575">
        <v>23</v>
      </c>
      <c r="L32" s="575">
        <v>31</v>
      </c>
      <c r="M32" s="580">
        <v>18</v>
      </c>
      <c r="N32" s="575">
        <v>12</v>
      </c>
      <c r="O32" s="575">
        <v>20</v>
      </c>
      <c r="P32" s="575">
        <v>17</v>
      </c>
      <c r="Q32" s="580">
        <v>24.2</v>
      </c>
      <c r="R32" s="577">
        <v>1.15</v>
      </c>
    </row>
    <row r="33" spans="1:18" s="519" customFormat="1" ht="24" customHeight="1">
      <c r="A33" s="544">
        <v>6</v>
      </c>
      <c r="B33" s="545" t="s">
        <v>660</v>
      </c>
      <c r="C33" s="563" t="s">
        <v>653</v>
      </c>
      <c r="D33" s="575">
        <v>729</v>
      </c>
      <c r="E33" s="546">
        <f>SUM(F33:Q33)</f>
        <v>700</v>
      </c>
      <c r="F33" s="575">
        <v>110</v>
      </c>
      <c r="G33" s="575">
        <v>35</v>
      </c>
      <c r="H33" s="575">
        <v>90</v>
      </c>
      <c r="I33" s="575">
        <v>60</v>
      </c>
      <c r="J33" s="575">
        <v>65</v>
      </c>
      <c r="K33" s="575">
        <v>75</v>
      </c>
      <c r="L33" s="575">
        <v>50</v>
      </c>
      <c r="M33" s="575">
        <v>48</v>
      </c>
      <c r="N33" s="575">
        <v>34</v>
      </c>
      <c r="O33" s="575">
        <v>45</v>
      </c>
      <c r="P33" s="575">
        <v>48</v>
      </c>
      <c r="Q33" s="575">
        <v>40</v>
      </c>
      <c r="R33" s="575">
        <f t="shared" si="2"/>
        <v>96.02194787379973</v>
      </c>
    </row>
    <row r="34" spans="1:18" s="519" customFormat="1" ht="33.75" customHeight="1">
      <c r="A34" s="544"/>
      <c r="B34" s="545" t="s">
        <v>661</v>
      </c>
      <c r="C34" s="569" t="s">
        <v>653</v>
      </c>
      <c r="D34" s="575">
        <v>100</v>
      </c>
      <c r="E34" s="546">
        <f>SUM(F34:Q34)</f>
        <v>100</v>
      </c>
      <c r="F34" s="575">
        <v>40</v>
      </c>
      <c r="G34" s="575">
        <v>12</v>
      </c>
      <c r="H34" s="575">
        <v>8</v>
      </c>
      <c r="I34" s="575">
        <v>3</v>
      </c>
      <c r="J34" s="575">
        <v>5</v>
      </c>
      <c r="K34" s="575">
        <v>11</v>
      </c>
      <c r="L34" s="575">
        <v>2</v>
      </c>
      <c r="M34" s="575">
        <v>4</v>
      </c>
      <c r="N34" s="575">
        <v>2</v>
      </c>
      <c r="O34" s="575">
        <v>8</v>
      </c>
      <c r="P34" s="575">
        <v>4</v>
      </c>
      <c r="Q34" s="575">
        <v>1</v>
      </c>
      <c r="R34" s="575">
        <f t="shared" si="2"/>
        <v>100</v>
      </c>
    </row>
    <row r="35" spans="1:18" s="519" customFormat="1" ht="24" customHeight="1">
      <c r="A35" s="544"/>
      <c r="B35" s="545" t="s">
        <v>662</v>
      </c>
      <c r="C35" s="563" t="s">
        <v>653</v>
      </c>
      <c r="D35" s="575">
        <v>4</v>
      </c>
      <c r="E35" s="546">
        <v>5</v>
      </c>
      <c r="F35" s="582"/>
      <c r="G35" s="582"/>
      <c r="H35" s="582"/>
      <c r="I35" s="582"/>
      <c r="J35" s="582"/>
      <c r="K35" s="582"/>
      <c r="L35" s="582"/>
      <c r="M35" s="582"/>
      <c r="N35" s="582"/>
      <c r="O35" s="582"/>
      <c r="P35" s="582"/>
      <c r="Q35" s="582"/>
      <c r="R35" s="580"/>
    </row>
    <row r="36" spans="1:18" s="519" customFormat="1" ht="24" customHeight="1">
      <c r="A36" s="544">
        <v>7</v>
      </c>
      <c r="B36" s="545" t="s">
        <v>23</v>
      </c>
      <c r="C36" s="563" t="s">
        <v>13</v>
      </c>
      <c r="D36" s="582">
        <v>2.7</v>
      </c>
      <c r="E36" s="583">
        <v>2.5</v>
      </c>
      <c r="F36" s="582"/>
      <c r="G36" s="582"/>
      <c r="H36" s="582"/>
      <c r="I36" s="582"/>
      <c r="J36" s="582"/>
      <c r="K36" s="582"/>
      <c r="L36" s="582"/>
      <c r="M36" s="582"/>
      <c r="N36" s="582"/>
      <c r="O36" s="582"/>
      <c r="P36" s="582"/>
      <c r="Q36" s="582"/>
      <c r="R36" s="580">
        <f>E36-D36</f>
        <v>-0.20000000000000018</v>
      </c>
    </row>
    <row r="37" spans="1:18" s="522" customFormat="1" ht="24" customHeight="1">
      <c r="A37" s="542" t="s">
        <v>185</v>
      </c>
      <c r="B37" s="564" t="s">
        <v>24</v>
      </c>
      <c r="C37" s="562"/>
      <c r="D37" s="578"/>
      <c r="E37" s="573"/>
      <c r="F37" s="578"/>
      <c r="G37" s="578"/>
      <c r="H37" s="578"/>
      <c r="I37" s="578"/>
      <c r="J37" s="578"/>
      <c r="K37" s="578"/>
      <c r="L37" s="578"/>
      <c r="M37" s="578"/>
      <c r="N37" s="578"/>
      <c r="O37" s="578"/>
      <c r="P37" s="578"/>
      <c r="Q37" s="578"/>
      <c r="R37" s="580"/>
    </row>
    <row r="38" spans="1:18" s="519" customFormat="1" ht="24" customHeight="1">
      <c r="A38" s="544">
        <v>1</v>
      </c>
      <c r="B38" s="545" t="s">
        <v>379</v>
      </c>
      <c r="C38" s="569" t="s">
        <v>150</v>
      </c>
      <c r="D38" s="575">
        <v>382</v>
      </c>
      <c r="E38" s="575">
        <f>SUM(F38:Q38)</f>
        <v>382</v>
      </c>
      <c r="F38" s="575">
        <f>18+35</f>
        <v>53</v>
      </c>
      <c r="G38" s="575">
        <v>30</v>
      </c>
      <c r="H38" s="575">
        <v>102</v>
      </c>
      <c r="I38" s="575">
        <v>21</v>
      </c>
      <c r="J38" s="575">
        <v>23</v>
      </c>
      <c r="K38" s="575">
        <v>55</v>
      </c>
      <c r="L38" s="575">
        <v>7</v>
      </c>
      <c r="M38" s="575">
        <v>12</v>
      </c>
      <c r="N38" s="575">
        <v>13</v>
      </c>
      <c r="O38" s="575">
        <v>5</v>
      </c>
      <c r="P38" s="575">
        <v>47</v>
      </c>
      <c r="Q38" s="575">
        <v>14</v>
      </c>
      <c r="R38" s="575">
        <f aca="true" t="shared" si="13" ref="R38:R43">E38/D38*100</f>
        <v>100</v>
      </c>
    </row>
    <row r="39" spans="1:18" s="519" customFormat="1" ht="33.75" customHeight="1">
      <c r="A39" s="540">
        <v>2</v>
      </c>
      <c r="B39" s="545" t="s">
        <v>419</v>
      </c>
      <c r="C39" s="569" t="s">
        <v>150</v>
      </c>
      <c r="D39" s="575">
        <v>347</v>
      </c>
      <c r="E39" s="575">
        <f>SUM(F39:Q39)</f>
        <v>347</v>
      </c>
      <c r="F39" s="575">
        <f>16+35</f>
        <v>51</v>
      </c>
      <c r="G39" s="575">
        <v>30</v>
      </c>
      <c r="H39" s="575">
        <v>93</v>
      </c>
      <c r="I39" s="575">
        <v>19</v>
      </c>
      <c r="J39" s="575">
        <v>21</v>
      </c>
      <c r="K39" s="575">
        <v>51</v>
      </c>
      <c r="L39" s="575">
        <v>3</v>
      </c>
      <c r="M39" s="575">
        <v>12</v>
      </c>
      <c r="N39" s="575">
        <v>11</v>
      </c>
      <c r="O39" s="575"/>
      <c r="P39" s="575">
        <v>44</v>
      </c>
      <c r="Q39" s="575">
        <v>12</v>
      </c>
      <c r="R39" s="575">
        <f t="shared" si="13"/>
        <v>100</v>
      </c>
    </row>
    <row r="40" spans="1:19" s="527" customFormat="1" ht="33.75" customHeight="1">
      <c r="A40" s="540">
        <v>3</v>
      </c>
      <c r="B40" s="545" t="s">
        <v>420</v>
      </c>
      <c r="C40" s="563" t="s">
        <v>423</v>
      </c>
      <c r="D40" s="582">
        <v>7</v>
      </c>
      <c r="E40" s="582">
        <f>SUM(F40:Q40)</f>
        <v>8</v>
      </c>
      <c r="F40" s="582">
        <v>1</v>
      </c>
      <c r="G40" s="582">
        <v>1</v>
      </c>
      <c r="H40" s="582">
        <v>1</v>
      </c>
      <c r="I40" s="582">
        <v>1</v>
      </c>
      <c r="J40" s="582"/>
      <c r="K40" s="582">
        <v>1</v>
      </c>
      <c r="L40" s="582"/>
      <c r="M40" s="582">
        <v>1</v>
      </c>
      <c r="N40" s="582">
        <v>1</v>
      </c>
      <c r="O40" s="582"/>
      <c r="P40" s="582"/>
      <c r="Q40" s="582">
        <v>1</v>
      </c>
      <c r="R40" s="584">
        <f t="shared" si="13"/>
        <v>114.28571428571428</v>
      </c>
      <c r="S40" s="526"/>
    </row>
    <row r="41" spans="1:19" s="519" customFormat="1" ht="33.75" customHeight="1">
      <c r="A41" s="540"/>
      <c r="B41" s="566" t="s">
        <v>421</v>
      </c>
      <c r="C41" s="569" t="s">
        <v>13</v>
      </c>
      <c r="D41" s="577">
        <f>D40/12*100</f>
        <v>58.333333333333336</v>
      </c>
      <c r="E41" s="577">
        <f>SUM(F41:Q41)/12</f>
        <v>66.66666666666667</v>
      </c>
      <c r="F41" s="575">
        <v>100</v>
      </c>
      <c r="G41" s="575">
        <v>100</v>
      </c>
      <c r="H41" s="575">
        <v>100</v>
      </c>
      <c r="I41" s="575">
        <v>100</v>
      </c>
      <c r="J41" s="575"/>
      <c r="K41" s="575">
        <v>100</v>
      </c>
      <c r="L41" s="575"/>
      <c r="M41" s="575">
        <v>100</v>
      </c>
      <c r="N41" s="575">
        <v>100</v>
      </c>
      <c r="O41" s="577"/>
      <c r="P41" s="575"/>
      <c r="Q41" s="575">
        <v>100</v>
      </c>
      <c r="R41" s="577">
        <f>E41-D41</f>
        <v>8.333333333333336</v>
      </c>
      <c r="S41" s="526"/>
    </row>
    <row r="42" spans="1:18" s="519" customFormat="1" ht="33.75" customHeight="1">
      <c r="A42" s="540">
        <v>4</v>
      </c>
      <c r="B42" s="545" t="s">
        <v>422</v>
      </c>
      <c r="C42" s="569" t="s">
        <v>150</v>
      </c>
      <c r="D42" s="575">
        <v>27</v>
      </c>
      <c r="E42" s="546">
        <f>SUM(F42:Q42)</f>
        <v>27</v>
      </c>
      <c r="F42" s="575">
        <v>4</v>
      </c>
      <c r="G42" s="575">
        <v>2</v>
      </c>
      <c r="H42" s="575">
        <v>2</v>
      </c>
      <c r="I42" s="575">
        <v>2</v>
      </c>
      <c r="J42" s="575">
        <v>4</v>
      </c>
      <c r="K42" s="575">
        <v>2</v>
      </c>
      <c r="L42" s="575">
        <v>1</v>
      </c>
      <c r="M42" s="575">
        <v>2</v>
      </c>
      <c r="N42" s="575">
        <v>1</v>
      </c>
      <c r="O42" s="575">
        <v>2</v>
      </c>
      <c r="P42" s="575">
        <v>3</v>
      </c>
      <c r="Q42" s="575">
        <v>2</v>
      </c>
      <c r="R42" s="575">
        <f t="shared" si="13"/>
        <v>100</v>
      </c>
    </row>
    <row r="43" spans="1:18" s="519" customFormat="1" ht="33.75" customHeight="1">
      <c r="A43" s="540">
        <v>5</v>
      </c>
      <c r="B43" s="545" t="s">
        <v>424</v>
      </c>
      <c r="C43" s="569" t="s">
        <v>150</v>
      </c>
      <c r="D43" s="575">
        <v>42</v>
      </c>
      <c r="E43" s="546">
        <f>SUM(F43:Q43)</f>
        <v>42</v>
      </c>
      <c r="F43" s="575">
        <v>6</v>
      </c>
      <c r="G43" s="575">
        <v>2</v>
      </c>
      <c r="H43" s="575">
        <v>5</v>
      </c>
      <c r="I43" s="575">
        <v>2</v>
      </c>
      <c r="J43" s="575">
        <v>4</v>
      </c>
      <c r="K43" s="575">
        <v>6</v>
      </c>
      <c r="L43" s="575">
        <v>2</v>
      </c>
      <c r="M43" s="575">
        <v>6</v>
      </c>
      <c r="N43" s="575">
        <v>2</v>
      </c>
      <c r="O43" s="575">
        <v>3</v>
      </c>
      <c r="P43" s="575">
        <v>2</v>
      </c>
      <c r="Q43" s="575">
        <v>2</v>
      </c>
      <c r="R43" s="575">
        <f t="shared" si="13"/>
        <v>100</v>
      </c>
    </row>
    <row r="44" spans="1:18" s="519" customFormat="1" ht="33.75" customHeight="1">
      <c r="A44" s="547">
        <v>6</v>
      </c>
      <c r="B44" s="545" t="s">
        <v>425</v>
      </c>
      <c r="C44" s="569" t="s">
        <v>70</v>
      </c>
      <c r="D44" s="575">
        <v>22</v>
      </c>
      <c r="E44" s="546">
        <f>SUM(F44:Q44)</f>
        <v>22</v>
      </c>
      <c r="F44" s="575">
        <v>3</v>
      </c>
      <c r="G44" s="575">
        <v>0</v>
      </c>
      <c r="H44" s="575">
        <v>2</v>
      </c>
      <c r="I44" s="575">
        <v>2</v>
      </c>
      <c r="J44" s="575">
        <v>2</v>
      </c>
      <c r="K44" s="575">
        <v>2</v>
      </c>
      <c r="L44" s="575">
        <v>1</v>
      </c>
      <c r="M44" s="575">
        <v>4</v>
      </c>
      <c r="N44" s="575">
        <v>2</v>
      </c>
      <c r="O44" s="575">
        <v>1</v>
      </c>
      <c r="P44" s="575">
        <v>2</v>
      </c>
      <c r="Q44" s="575">
        <v>1</v>
      </c>
      <c r="R44" s="580"/>
    </row>
    <row r="45" spans="1:18" s="519" customFormat="1" ht="20.25" customHeight="1" hidden="1">
      <c r="A45" s="540">
        <v>7</v>
      </c>
      <c r="B45" s="545" t="s">
        <v>426</v>
      </c>
      <c r="C45" s="569" t="s">
        <v>427</v>
      </c>
      <c r="D45" s="575"/>
      <c r="E45" s="546"/>
      <c r="F45" s="575"/>
      <c r="G45" s="575"/>
      <c r="H45" s="575"/>
      <c r="I45" s="575"/>
      <c r="J45" s="575"/>
      <c r="K45" s="575"/>
      <c r="L45" s="575"/>
      <c r="M45" s="575"/>
      <c r="N45" s="575"/>
      <c r="O45" s="575"/>
      <c r="P45" s="575"/>
      <c r="Q45" s="575"/>
      <c r="R45" s="580"/>
    </row>
    <row r="46" spans="1:18" s="519" customFormat="1" ht="20.25" customHeight="1" hidden="1">
      <c r="A46" s="547">
        <v>8</v>
      </c>
      <c r="B46" s="545" t="s">
        <v>429</v>
      </c>
      <c r="C46" s="569" t="s">
        <v>427</v>
      </c>
      <c r="D46" s="575"/>
      <c r="E46" s="546"/>
      <c r="F46" s="575"/>
      <c r="G46" s="575"/>
      <c r="H46" s="575"/>
      <c r="I46" s="575"/>
      <c r="J46" s="575"/>
      <c r="K46" s="575"/>
      <c r="L46" s="575"/>
      <c r="M46" s="575"/>
      <c r="N46" s="575"/>
      <c r="O46" s="575"/>
      <c r="P46" s="575"/>
      <c r="Q46" s="575"/>
      <c r="R46" s="580"/>
    </row>
    <row r="47" spans="1:18" s="519" customFormat="1" ht="52.5" customHeight="1">
      <c r="A47" s="540">
        <v>7</v>
      </c>
      <c r="B47" s="545" t="s">
        <v>428</v>
      </c>
      <c r="C47" s="569" t="s">
        <v>150</v>
      </c>
      <c r="D47" s="585" t="s">
        <v>598</v>
      </c>
      <c r="E47" s="586" t="s">
        <v>598</v>
      </c>
      <c r="F47" s="575">
        <v>1</v>
      </c>
      <c r="G47" s="575">
        <v>1</v>
      </c>
      <c r="H47" s="575">
        <v>1</v>
      </c>
      <c r="I47" s="575">
        <v>1</v>
      </c>
      <c r="J47" s="575">
        <v>1</v>
      </c>
      <c r="K47" s="575">
        <v>1</v>
      </c>
      <c r="L47" s="575">
        <v>1</v>
      </c>
      <c r="M47" s="575">
        <v>1</v>
      </c>
      <c r="N47" s="575">
        <v>1</v>
      </c>
      <c r="O47" s="575">
        <v>1</v>
      </c>
      <c r="P47" s="575">
        <v>1</v>
      </c>
      <c r="Q47" s="575">
        <v>1</v>
      </c>
      <c r="R47" s="580"/>
    </row>
    <row r="48" spans="1:18" s="522" customFormat="1" ht="24" customHeight="1">
      <c r="A48" s="542" t="s">
        <v>186</v>
      </c>
      <c r="B48" s="564" t="s">
        <v>25</v>
      </c>
      <c r="C48" s="562"/>
      <c r="D48" s="572"/>
      <c r="E48" s="573"/>
      <c r="F48" s="578"/>
      <c r="G48" s="578"/>
      <c r="H48" s="578"/>
      <c r="I48" s="578"/>
      <c r="J48" s="578"/>
      <c r="K48" s="578"/>
      <c r="L48" s="578"/>
      <c r="M48" s="578"/>
      <c r="N48" s="578"/>
      <c r="O48" s="578"/>
      <c r="P48" s="578"/>
      <c r="Q48" s="578"/>
      <c r="R48" s="580"/>
    </row>
    <row r="49" spans="1:18" s="522" customFormat="1" ht="24" customHeight="1">
      <c r="A49" s="542" t="s">
        <v>380</v>
      </c>
      <c r="B49" s="564" t="s">
        <v>26</v>
      </c>
      <c r="C49" s="562" t="s">
        <v>181</v>
      </c>
      <c r="D49" s="578"/>
      <c r="E49" s="573"/>
      <c r="F49" s="578"/>
      <c r="G49" s="587"/>
      <c r="H49" s="578"/>
      <c r="I49" s="578"/>
      <c r="J49" s="578"/>
      <c r="K49" s="578"/>
      <c r="L49" s="578"/>
      <c r="M49" s="578"/>
      <c r="N49" s="578"/>
      <c r="O49" s="578"/>
      <c r="P49" s="578"/>
      <c r="Q49" s="578"/>
      <c r="R49" s="580"/>
    </row>
    <row r="50" spans="1:18" s="519" customFormat="1" ht="24" customHeight="1">
      <c r="A50" s="544">
        <v>1</v>
      </c>
      <c r="B50" s="545" t="s">
        <v>353</v>
      </c>
      <c r="C50" s="563" t="s">
        <v>663</v>
      </c>
      <c r="D50" s="582">
        <v>411</v>
      </c>
      <c r="E50" s="546">
        <v>410</v>
      </c>
      <c r="F50" s="575">
        <f>3+3+3+3+5+7+6+3+4+6+9+10+11+0+8+1</f>
        <v>82</v>
      </c>
      <c r="G50" s="575">
        <f>5+7+0</f>
        <v>12</v>
      </c>
      <c r="H50" s="575"/>
      <c r="I50" s="575"/>
      <c r="J50" s="575"/>
      <c r="K50" s="575"/>
      <c r="L50" s="575"/>
      <c r="M50" s="575"/>
      <c r="N50" s="575"/>
      <c r="O50" s="575"/>
      <c r="P50" s="575"/>
      <c r="Q50" s="575"/>
      <c r="R50" s="575">
        <f>E50/D50*100</f>
        <v>99.7566909975669</v>
      </c>
    </row>
    <row r="51" spans="1:19" s="519" customFormat="1" ht="24" customHeight="1">
      <c r="A51" s="544"/>
      <c r="B51" s="545" t="s">
        <v>22</v>
      </c>
      <c r="C51" s="563" t="s">
        <v>663</v>
      </c>
      <c r="D51" s="575">
        <v>49</v>
      </c>
      <c r="E51" s="546">
        <v>49</v>
      </c>
      <c r="F51" s="575"/>
      <c r="G51" s="575"/>
      <c r="H51" s="546"/>
      <c r="I51" s="546"/>
      <c r="J51" s="546"/>
      <c r="K51" s="546"/>
      <c r="L51" s="546"/>
      <c r="M51" s="546"/>
      <c r="N51" s="546"/>
      <c r="O51" s="546"/>
      <c r="P51" s="546"/>
      <c r="Q51" s="546"/>
      <c r="R51" s="575">
        <f>E51/D51*100</f>
        <v>100</v>
      </c>
      <c r="S51" s="520"/>
    </row>
    <row r="52" spans="1:18" s="519" customFormat="1" ht="24" customHeight="1">
      <c r="A52" s="544">
        <v>2</v>
      </c>
      <c r="B52" s="545" t="s">
        <v>28</v>
      </c>
      <c r="C52" s="563" t="s">
        <v>663</v>
      </c>
      <c r="D52" s="575"/>
      <c r="E52" s="546">
        <v>20</v>
      </c>
      <c r="F52" s="546"/>
      <c r="G52" s="546"/>
      <c r="H52" s="546"/>
      <c r="I52" s="546"/>
      <c r="J52" s="546"/>
      <c r="K52" s="546"/>
      <c r="L52" s="546"/>
      <c r="M52" s="546"/>
      <c r="N52" s="546"/>
      <c r="O52" s="546"/>
      <c r="P52" s="546"/>
      <c r="Q52" s="546"/>
      <c r="R52" s="575"/>
    </row>
    <row r="53" spans="1:18" s="519" customFormat="1" ht="24" customHeight="1">
      <c r="A53" s="544">
        <v>3</v>
      </c>
      <c r="B53" s="545" t="s">
        <v>381</v>
      </c>
      <c r="C53" s="563" t="s">
        <v>663</v>
      </c>
      <c r="D53" s="582">
        <v>136</v>
      </c>
      <c r="E53" s="546">
        <v>136</v>
      </c>
      <c r="F53" s="546"/>
      <c r="G53" s="546"/>
      <c r="H53" s="546"/>
      <c r="I53" s="546"/>
      <c r="J53" s="546"/>
      <c r="K53" s="546"/>
      <c r="L53" s="546"/>
      <c r="M53" s="546"/>
      <c r="N53" s="546"/>
      <c r="O53" s="546"/>
      <c r="P53" s="546"/>
      <c r="Q53" s="546"/>
      <c r="R53" s="575">
        <f>E53/D53*100</f>
        <v>100</v>
      </c>
    </row>
    <row r="54" spans="1:18" s="522" customFormat="1" ht="24" customHeight="1">
      <c r="A54" s="542" t="s">
        <v>382</v>
      </c>
      <c r="B54" s="564" t="s">
        <v>39</v>
      </c>
      <c r="C54" s="562"/>
      <c r="D54" s="578"/>
      <c r="E54" s="573"/>
      <c r="F54" s="546"/>
      <c r="G54" s="546"/>
      <c r="H54" s="546"/>
      <c r="I54" s="546"/>
      <c r="J54" s="546"/>
      <c r="K54" s="546"/>
      <c r="L54" s="546"/>
      <c r="M54" s="546"/>
      <c r="N54" s="546"/>
      <c r="O54" s="546"/>
      <c r="P54" s="546"/>
      <c r="Q54" s="546"/>
      <c r="R54" s="546"/>
    </row>
    <row r="55" spans="1:18" s="519" customFormat="1" ht="24" customHeight="1">
      <c r="A55" s="544">
        <v>1</v>
      </c>
      <c r="B55" s="545" t="s">
        <v>40</v>
      </c>
      <c r="C55" s="563" t="s">
        <v>41</v>
      </c>
      <c r="D55" s="575">
        <v>11403</v>
      </c>
      <c r="E55" s="575">
        <f>SUM(F55:Q55)</f>
        <v>11556</v>
      </c>
      <c r="F55" s="575">
        <f>1022+1073</f>
        <v>2095</v>
      </c>
      <c r="G55" s="575">
        <v>1015</v>
      </c>
      <c r="H55" s="575">
        <v>1415</v>
      </c>
      <c r="I55" s="575">
        <v>787</v>
      </c>
      <c r="J55" s="575">
        <v>1044</v>
      </c>
      <c r="K55" s="575">
        <v>1254</v>
      </c>
      <c r="L55" s="575">
        <v>629</v>
      </c>
      <c r="M55" s="575">
        <v>749</v>
      </c>
      <c r="N55" s="575">
        <v>476</v>
      </c>
      <c r="O55" s="575">
        <v>702</v>
      </c>
      <c r="P55" s="575">
        <v>873</v>
      </c>
      <c r="Q55" s="575">
        <v>517</v>
      </c>
      <c r="R55" s="580">
        <f aca="true" t="shared" si="14" ref="R55:R61">E55/D55*100</f>
        <v>101.34175217048144</v>
      </c>
    </row>
    <row r="56" spans="1:18" s="528" customFormat="1" ht="24" customHeight="1">
      <c r="A56" s="544">
        <v>2</v>
      </c>
      <c r="B56" s="545" t="s">
        <v>42</v>
      </c>
      <c r="C56" s="563" t="s">
        <v>41</v>
      </c>
      <c r="D56" s="575">
        <v>5919</v>
      </c>
      <c r="E56" s="575">
        <f>SUM(F56:Q56)</f>
        <v>5347</v>
      </c>
      <c r="F56" s="575">
        <f>106+157</f>
        <v>263</v>
      </c>
      <c r="G56" s="575">
        <f>296-157</f>
        <v>139</v>
      </c>
      <c r="H56" s="575">
        <v>984</v>
      </c>
      <c r="I56" s="575">
        <v>351</v>
      </c>
      <c r="J56" s="575">
        <v>488</v>
      </c>
      <c r="K56" s="575">
        <v>778</v>
      </c>
      <c r="L56" s="575">
        <v>349</v>
      </c>
      <c r="M56" s="575">
        <v>474</v>
      </c>
      <c r="N56" s="575">
        <v>312</v>
      </c>
      <c r="O56" s="575">
        <v>347</v>
      </c>
      <c r="P56" s="575">
        <v>562</v>
      </c>
      <c r="Q56" s="575">
        <v>300</v>
      </c>
      <c r="R56" s="580">
        <f t="shared" si="14"/>
        <v>90.33620544010813</v>
      </c>
    </row>
    <row r="57" spans="1:18" s="518" customFormat="1" ht="24" customHeight="1">
      <c r="A57" s="540">
        <v>3</v>
      </c>
      <c r="B57" s="545" t="s">
        <v>43</v>
      </c>
      <c r="C57" s="563" t="s">
        <v>41</v>
      </c>
      <c r="D57" s="575">
        <v>5347</v>
      </c>
      <c r="E57" s="546">
        <f>SUM(F57:Q57)</f>
        <v>4842</v>
      </c>
      <c r="F57" s="576">
        <v>225</v>
      </c>
      <c r="G57" s="576">
        <v>118</v>
      </c>
      <c r="H57" s="576">
        <v>845</v>
      </c>
      <c r="I57" s="576">
        <v>298</v>
      </c>
      <c r="J57" s="576">
        <v>420</v>
      </c>
      <c r="K57" s="576">
        <v>710</v>
      </c>
      <c r="L57" s="576">
        <v>325</v>
      </c>
      <c r="M57" s="576">
        <v>446</v>
      </c>
      <c r="N57" s="576">
        <v>301</v>
      </c>
      <c r="O57" s="576">
        <v>325</v>
      </c>
      <c r="P57" s="576">
        <v>544</v>
      </c>
      <c r="Q57" s="576">
        <v>285</v>
      </c>
      <c r="R57" s="575">
        <f t="shared" si="14"/>
        <v>90.55545165513372</v>
      </c>
    </row>
    <row r="58" spans="1:19" s="519" customFormat="1" ht="24" customHeight="1">
      <c r="A58" s="544">
        <v>4</v>
      </c>
      <c r="B58" s="545" t="s">
        <v>44</v>
      </c>
      <c r="C58" s="563" t="s">
        <v>41</v>
      </c>
      <c r="D58" s="546">
        <v>1019</v>
      </c>
      <c r="E58" s="546">
        <f>SUM(F58:Q58)</f>
        <v>830</v>
      </c>
      <c r="F58" s="576">
        <f>25+100+30</f>
        <v>155</v>
      </c>
      <c r="G58" s="576">
        <f>125-100</f>
        <v>25</v>
      </c>
      <c r="H58" s="576">
        <v>115</v>
      </c>
      <c r="I58" s="576">
        <v>85</v>
      </c>
      <c r="J58" s="576">
        <f>105-28</f>
        <v>77</v>
      </c>
      <c r="K58" s="576">
        <v>95</v>
      </c>
      <c r="L58" s="576">
        <v>75</v>
      </c>
      <c r="M58" s="576">
        <v>55</v>
      </c>
      <c r="N58" s="576">
        <v>29</v>
      </c>
      <c r="O58" s="576">
        <v>47</v>
      </c>
      <c r="P58" s="576">
        <v>35</v>
      </c>
      <c r="Q58" s="576">
        <v>37</v>
      </c>
      <c r="R58" s="575">
        <f t="shared" si="14"/>
        <v>81.45240431795878</v>
      </c>
      <c r="S58" s="520"/>
    </row>
    <row r="59" spans="1:19" s="519" customFormat="1" ht="24" customHeight="1">
      <c r="A59" s="540">
        <v>5</v>
      </c>
      <c r="B59" s="545" t="s">
        <v>430</v>
      </c>
      <c r="C59" s="563" t="s">
        <v>176</v>
      </c>
      <c r="D59" s="546">
        <v>440</v>
      </c>
      <c r="E59" s="546">
        <f>SUM(F59:Q59)</f>
        <v>399</v>
      </c>
      <c r="F59" s="576">
        <v>117</v>
      </c>
      <c r="G59" s="576">
        <v>4</v>
      </c>
      <c r="H59" s="576">
        <v>35</v>
      </c>
      <c r="I59" s="576">
        <v>19</v>
      </c>
      <c r="J59" s="576">
        <v>37</v>
      </c>
      <c r="K59" s="576">
        <v>31</v>
      </c>
      <c r="L59" s="576">
        <v>21</v>
      </c>
      <c r="M59" s="576">
        <v>28</v>
      </c>
      <c r="N59" s="576">
        <v>25</v>
      </c>
      <c r="O59" s="576">
        <v>27</v>
      </c>
      <c r="P59" s="576">
        <v>28</v>
      </c>
      <c r="Q59" s="576">
        <v>27</v>
      </c>
      <c r="R59" s="575">
        <f t="shared" si="14"/>
        <v>90.68181818181819</v>
      </c>
      <c r="S59" s="520"/>
    </row>
    <row r="60" spans="1:18" s="519" customFormat="1" ht="24" customHeight="1">
      <c r="A60" s="544">
        <v>6</v>
      </c>
      <c r="B60" s="545" t="s">
        <v>45</v>
      </c>
      <c r="C60" s="571" t="s">
        <v>13</v>
      </c>
      <c r="D60" s="588">
        <f>D57/D55*100</f>
        <v>46.89116899061651</v>
      </c>
      <c r="E60" s="583">
        <f>E57/E55*100</f>
        <v>41.90031152647975</v>
      </c>
      <c r="F60" s="580">
        <f aca="true" t="shared" si="15" ref="F60:Q60">F57/F55*100</f>
        <v>10.739856801909307</v>
      </c>
      <c r="G60" s="580">
        <f t="shared" si="15"/>
        <v>11.625615763546799</v>
      </c>
      <c r="H60" s="580">
        <f t="shared" si="15"/>
        <v>59.717314487632514</v>
      </c>
      <c r="I60" s="580">
        <f t="shared" si="15"/>
        <v>37.86531130876747</v>
      </c>
      <c r="J60" s="580">
        <f t="shared" si="15"/>
        <v>40.229885057471265</v>
      </c>
      <c r="K60" s="580">
        <f t="shared" si="15"/>
        <v>56.61881977671451</v>
      </c>
      <c r="L60" s="580">
        <f t="shared" si="15"/>
        <v>51.669316375198726</v>
      </c>
      <c r="M60" s="580">
        <f t="shared" si="15"/>
        <v>59.546061415220294</v>
      </c>
      <c r="N60" s="580">
        <f t="shared" si="15"/>
        <v>63.23529411764706</v>
      </c>
      <c r="O60" s="580">
        <f t="shared" si="15"/>
        <v>46.2962962962963</v>
      </c>
      <c r="P60" s="580">
        <f t="shared" si="15"/>
        <v>62.31386025200458</v>
      </c>
      <c r="Q60" s="580">
        <f t="shared" si="15"/>
        <v>55.12572533849129</v>
      </c>
      <c r="R60" s="577">
        <f>E60-D60</f>
        <v>-4.990857464136759</v>
      </c>
    </row>
    <row r="61" spans="1:18" s="519" customFormat="1" ht="24" customHeight="1">
      <c r="A61" s="540">
        <v>7</v>
      </c>
      <c r="B61" s="545" t="s">
        <v>259</v>
      </c>
      <c r="C61" s="571" t="s">
        <v>176</v>
      </c>
      <c r="D61" s="575">
        <v>1699</v>
      </c>
      <c r="E61" s="546">
        <f>SUM(F61:Q61)</f>
        <v>900</v>
      </c>
      <c r="F61" s="576">
        <f>11+105</f>
        <v>116</v>
      </c>
      <c r="G61" s="576">
        <v>100</v>
      </c>
      <c r="H61" s="576">
        <v>57</v>
      </c>
      <c r="I61" s="576">
        <v>60</v>
      </c>
      <c r="J61" s="576">
        <v>73</v>
      </c>
      <c r="K61" s="576">
        <v>75</v>
      </c>
      <c r="L61" s="576">
        <v>70</v>
      </c>
      <c r="M61" s="576">
        <v>75</v>
      </c>
      <c r="N61" s="576">
        <v>59</v>
      </c>
      <c r="O61" s="576">
        <v>70</v>
      </c>
      <c r="P61" s="576">
        <v>80</v>
      </c>
      <c r="Q61" s="576">
        <v>65</v>
      </c>
      <c r="R61" s="575">
        <f t="shared" si="14"/>
        <v>52.97233666862861</v>
      </c>
    </row>
    <row r="62" spans="1:18" s="519" customFormat="1" ht="24" customHeight="1">
      <c r="A62" s="544">
        <v>8</v>
      </c>
      <c r="B62" s="545" t="s">
        <v>359</v>
      </c>
      <c r="C62" s="571" t="s">
        <v>13</v>
      </c>
      <c r="D62" s="546">
        <f aca="true" t="shared" si="16" ref="D62:Q62">D61/D55*100</f>
        <v>14.899587827764623</v>
      </c>
      <c r="E62" s="588">
        <f t="shared" si="16"/>
        <v>7.78816199376947</v>
      </c>
      <c r="F62" s="588">
        <f t="shared" si="16"/>
        <v>5.536992840095466</v>
      </c>
      <c r="G62" s="588">
        <f t="shared" si="16"/>
        <v>9.852216748768473</v>
      </c>
      <c r="H62" s="588">
        <f t="shared" si="16"/>
        <v>4.028268551236749</v>
      </c>
      <c r="I62" s="588">
        <f t="shared" si="16"/>
        <v>7.6238881829733165</v>
      </c>
      <c r="J62" s="588">
        <f t="shared" si="16"/>
        <v>6.992337164750957</v>
      </c>
      <c r="K62" s="588">
        <f t="shared" si="16"/>
        <v>5.980861244019139</v>
      </c>
      <c r="L62" s="588">
        <f t="shared" si="16"/>
        <v>11.128775834658187</v>
      </c>
      <c r="M62" s="588">
        <f t="shared" si="16"/>
        <v>10.013351134846461</v>
      </c>
      <c r="N62" s="588">
        <f t="shared" si="16"/>
        <v>12.394957983193278</v>
      </c>
      <c r="O62" s="588">
        <f t="shared" si="16"/>
        <v>9.971509971509972</v>
      </c>
      <c r="P62" s="588">
        <f t="shared" si="16"/>
        <v>9.163802978235967</v>
      </c>
      <c r="Q62" s="588">
        <f t="shared" si="16"/>
        <v>12.572533849129593</v>
      </c>
      <c r="R62" s="580">
        <f>E62-D62</f>
        <v>-7.1114258339951535</v>
      </c>
    </row>
    <row r="63" spans="1:18" s="519" customFormat="1" ht="24" customHeight="1">
      <c r="A63" s="544">
        <v>9</v>
      </c>
      <c r="B63" s="545" t="s">
        <v>550</v>
      </c>
      <c r="C63" s="571" t="s">
        <v>13</v>
      </c>
      <c r="D63" s="583">
        <v>46.7</v>
      </c>
      <c r="E63" s="583">
        <v>41.4</v>
      </c>
      <c r="F63" s="583">
        <v>10.2</v>
      </c>
      <c r="G63" s="583">
        <v>11.579434923575729</v>
      </c>
      <c r="H63" s="583">
        <f>H60</f>
        <v>59.717314487632514</v>
      </c>
      <c r="I63" s="583">
        <f aca="true" t="shared" si="17" ref="I63:Q63">I60</f>
        <v>37.86531130876747</v>
      </c>
      <c r="J63" s="583">
        <f t="shared" si="17"/>
        <v>40.229885057471265</v>
      </c>
      <c r="K63" s="583">
        <f t="shared" si="17"/>
        <v>56.61881977671451</v>
      </c>
      <c r="L63" s="583">
        <f t="shared" si="17"/>
        <v>51.669316375198726</v>
      </c>
      <c r="M63" s="583">
        <f t="shared" si="17"/>
        <v>59.546061415220294</v>
      </c>
      <c r="N63" s="583">
        <f t="shared" si="17"/>
        <v>63.23529411764706</v>
      </c>
      <c r="O63" s="583">
        <f t="shared" si="17"/>
        <v>46.2962962962963</v>
      </c>
      <c r="P63" s="583">
        <f t="shared" si="17"/>
        <v>62.31386025200458</v>
      </c>
      <c r="Q63" s="583">
        <f t="shared" si="17"/>
        <v>55.12572533849129</v>
      </c>
      <c r="R63" s="577">
        <f>R60</f>
        <v>-4.990857464136759</v>
      </c>
    </row>
    <row r="64" spans="1:18" s="519" customFormat="1" ht="24" customHeight="1">
      <c r="A64" s="548" t="s">
        <v>383</v>
      </c>
      <c r="B64" s="549" t="s">
        <v>384</v>
      </c>
      <c r="C64" s="571"/>
      <c r="D64" s="580"/>
      <c r="E64" s="577"/>
      <c r="F64" s="577"/>
      <c r="G64" s="577"/>
      <c r="H64" s="577"/>
      <c r="I64" s="577"/>
      <c r="J64" s="577"/>
      <c r="K64" s="577"/>
      <c r="L64" s="577"/>
      <c r="M64" s="577"/>
      <c r="N64" s="577"/>
      <c r="O64" s="577"/>
      <c r="P64" s="577"/>
      <c r="Q64" s="577"/>
      <c r="R64" s="580"/>
    </row>
    <row r="65" spans="1:18" s="522" customFormat="1" ht="33.75" customHeight="1">
      <c r="A65" s="548">
        <v>1</v>
      </c>
      <c r="B65" s="564" t="s">
        <v>664</v>
      </c>
      <c r="C65" s="568" t="s">
        <v>150</v>
      </c>
      <c r="D65" s="572">
        <v>2378</v>
      </c>
      <c r="E65" s="572">
        <f>SUM(F65:Q65)</f>
        <v>2940</v>
      </c>
      <c r="F65" s="572">
        <v>1150</v>
      </c>
      <c r="G65" s="572">
        <v>105</v>
      </c>
      <c r="H65" s="572">
        <v>225</v>
      </c>
      <c r="I65" s="572">
        <v>170</v>
      </c>
      <c r="J65" s="572">
        <v>199</v>
      </c>
      <c r="K65" s="572">
        <v>220</v>
      </c>
      <c r="L65" s="572">
        <v>150</v>
      </c>
      <c r="M65" s="572">
        <v>135</v>
      </c>
      <c r="N65" s="572">
        <v>110</v>
      </c>
      <c r="O65" s="572">
        <v>193</v>
      </c>
      <c r="P65" s="572">
        <v>152</v>
      </c>
      <c r="Q65" s="572">
        <v>131</v>
      </c>
      <c r="R65" s="574">
        <f>E65/D65*100</f>
        <v>123.63330529857022</v>
      </c>
    </row>
    <row r="66" spans="1:18" s="522" customFormat="1" ht="33.75" customHeight="1">
      <c r="A66" s="548"/>
      <c r="B66" s="549" t="s">
        <v>667</v>
      </c>
      <c r="C66" s="568" t="s">
        <v>150</v>
      </c>
      <c r="D66" s="572">
        <v>2398</v>
      </c>
      <c r="E66" s="572">
        <f>SUM(F66:Q66)</f>
        <v>2868</v>
      </c>
      <c r="F66" s="572">
        <v>1140</v>
      </c>
      <c r="G66" s="572">
        <v>95</v>
      </c>
      <c r="H66" s="572">
        <v>215</v>
      </c>
      <c r="I66" s="572">
        <v>160</v>
      </c>
      <c r="J66" s="572">
        <v>190</v>
      </c>
      <c r="K66" s="572">
        <v>215</v>
      </c>
      <c r="L66" s="572">
        <v>147</v>
      </c>
      <c r="M66" s="572">
        <v>133</v>
      </c>
      <c r="N66" s="572">
        <v>108</v>
      </c>
      <c r="O66" s="572">
        <v>185</v>
      </c>
      <c r="P66" s="572">
        <v>150</v>
      </c>
      <c r="Q66" s="572">
        <v>130</v>
      </c>
      <c r="R66" s="589">
        <f>E66/D66*100</f>
        <v>119.59966638865723</v>
      </c>
    </row>
    <row r="67" spans="1:18" s="519" customFormat="1" ht="24" customHeight="1">
      <c r="A67" s="550"/>
      <c r="B67" s="551" t="s">
        <v>666</v>
      </c>
      <c r="C67" s="571" t="s">
        <v>13</v>
      </c>
      <c r="D67" s="580"/>
      <c r="E67" s="588">
        <v>97.55</v>
      </c>
      <c r="F67" s="590"/>
      <c r="G67" s="590"/>
      <c r="H67" s="590"/>
      <c r="I67" s="590"/>
      <c r="J67" s="590"/>
      <c r="K67" s="590"/>
      <c r="L67" s="590"/>
      <c r="M67" s="590"/>
      <c r="N67" s="590"/>
      <c r="O67" s="590"/>
      <c r="P67" s="590"/>
      <c r="Q67" s="590"/>
      <c r="R67" s="580"/>
    </row>
    <row r="68" spans="1:18" s="519" customFormat="1" ht="33.75" customHeight="1" hidden="1">
      <c r="A68" s="550"/>
      <c r="B68" s="551" t="s">
        <v>431</v>
      </c>
      <c r="C68" s="571" t="s">
        <v>13</v>
      </c>
      <c r="D68" s="580"/>
      <c r="E68" s="588"/>
      <c r="F68" s="590"/>
      <c r="G68" s="590"/>
      <c r="H68" s="590"/>
      <c r="I68" s="590"/>
      <c r="J68" s="590"/>
      <c r="K68" s="590"/>
      <c r="L68" s="590"/>
      <c r="M68" s="590"/>
      <c r="N68" s="590"/>
      <c r="O68" s="590"/>
      <c r="P68" s="590"/>
      <c r="Q68" s="590"/>
      <c r="R68" s="580"/>
    </row>
    <row r="69" spans="1:18" s="522" customFormat="1" ht="33.75" customHeight="1">
      <c r="A69" s="548">
        <v>2</v>
      </c>
      <c r="B69" s="549" t="s">
        <v>665</v>
      </c>
      <c r="C69" s="568" t="s">
        <v>150</v>
      </c>
      <c r="D69" s="572">
        <v>1707</v>
      </c>
      <c r="E69" s="572">
        <f>SUM(F69:Q69)</f>
        <v>1950</v>
      </c>
      <c r="F69" s="572">
        <v>843</v>
      </c>
      <c r="G69" s="572">
        <v>100</v>
      </c>
      <c r="H69" s="572">
        <v>155</v>
      </c>
      <c r="I69" s="572">
        <v>102</v>
      </c>
      <c r="J69" s="572">
        <v>135</v>
      </c>
      <c r="K69" s="572">
        <v>157</v>
      </c>
      <c r="L69" s="572">
        <v>95</v>
      </c>
      <c r="M69" s="572">
        <v>87</v>
      </c>
      <c r="N69" s="572">
        <v>69</v>
      </c>
      <c r="O69" s="572">
        <v>62</v>
      </c>
      <c r="P69" s="572">
        <v>80</v>
      </c>
      <c r="Q69" s="572">
        <v>65</v>
      </c>
      <c r="R69" s="574">
        <f>E69/D69*100</f>
        <v>114.23550087873463</v>
      </c>
    </row>
    <row r="70" spans="1:18" s="522" customFormat="1" ht="33.75" customHeight="1">
      <c r="A70" s="548"/>
      <c r="B70" s="549" t="s">
        <v>668</v>
      </c>
      <c r="C70" s="568" t="s">
        <v>150</v>
      </c>
      <c r="D70" s="572">
        <v>1704</v>
      </c>
      <c r="E70" s="572">
        <f>SUM(F70:Q70)</f>
        <v>1934</v>
      </c>
      <c r="F70" s="572">
        <f>719+130</f>
        <v>849</v>
      </c>
      <c r="G70" s="572">
        <f>222-130</f>
        <v>92</v>
      </c>
      <c r="H70" s="572">
        <v>154</v>
      </c>
      <c r="I70" s="572">
        <v>100</v>
      </c>
      <c r="J70" s="572">
        <v>134</v>
      </c>
      <c r="K70" s="572">
        <v>156</v>
      </c>
      <c r="L70" s="572">
        <v>94</v>
      </c>
      <c r="M70" s="572">
        <v>85</v>
      </c>
      <c r="N70" s="572">
        <v>68</v>
      </c>
      <c r="O70" s="572">
        <v>60</v>
      </c>
      <c r="P70" s="572">
        <v>78</v>
      </c>
      <c r="Q70" s="572">
        <v>64</v>
      </c>
      <c r="R70" s="589">
        <f>E70/D70*100</f>
        <v>113.49765258215963</v>
      </c>
    </row>
    <row r="71" spans="1:18" s="519" customFormat="1" ht="19.5" customHeight="1">
      <c r="A71" s="550"/>
      <c r="B71" s="552" t="s">
        <v>669</v>
      </c>
      <c r="C71" s="571" t="s">
        <v>13</v>
      </c>
      <c r="D71" s="580"/>
      <c r="E71" s="588">
        <v>99.17</v>
      </c>
      <c r="F71" s="590"/>
      <c r="G71" s="590"/>
      <c r="H71" s="590"/>
      <c r="I71" s="590"/>
      <c r="J71" s="590"/>
      <c r="K71" s="590"/>
      <c r="L71" s="590"/>
      <c r="M71" s="590"/>
      <c r="N71" s="590"/>
      <c r="O71" s="590"/>
      <c r="P71" s="590"/>
      <c r="Q71" s="590"/>
      <c r="R71" s="580"/>
    </row>
    <row r="72" spans="1:18" s="519" customFormat="1" ht="33.75" customHeight="1">
      <c r="A72" s="550"/>
      <c r="B72" s="552" t="s">
        <v>670</v>
      </c>
      <c r="C72" s="571" t="s">
        <v>13</v>
      </c>
      <c r="D72" s="580"/>
      <c r="E72" s="577"/>
      <c r="F72" s="577"/>
      <c r="G72" s="577"/>
      <c r="H72" s="577"/>
      <c r="I72" s="577"/>
      <c r="J72" s="577"/>
      <c r="K72" s="577"/>
      <c r="L72" s="577"/>
      <c r="M72" s="577"/>
      <c r="N72" s="577"/>
      <c r="O72" s="577"/>
      <c r="P72" s="577"/>
      <c r="Q72" s="577"/>
      <c r="R72" s="580"/>
    </row>
    <row r="73" spans="1:18" s="522" customFormat="1" ht="33.75" customHeight="1">
      <c r="A73" s="548">
        <v>3</v>
      </c>
      <c r="B73" s="549" t="s">
        <v>671</v>
      </c>
      <c r="C73" s="567" t="s">
        <v>150</v>
      </c>
      <c r="D73" s="573">
        <v>29841</v>
      </c>
      <c r="E73" s="573">
        <f>SUM(F73:Q73)</f>
        <v>30055</v>
      </c>
      <c r="F73" s="573">
        <f>1288+3000</f>
        <v>4288</v>
      </c>
      <c r="G73" s="573">
        <f>5297-3000</f>
        <v>2297</v>
      </c>
      <c r="H73" s="573">
        <v>3631</v>
      </c>
      <c r="I73" s="573">
        <v>2091</v>
      </c>
      <c r="J73" s="573">
        <v>2979</v>
      </c>
      <c r="K73" s="573">
        <v>3524</v>
      </c>
      <c r="L73" s="573">
        <v>1841</v>
      </c>
      <c r="M73" s="573">
        <v>1919</v>
      </c>
      <c r="N73" s="573">
        <v>1358</v>
      </c>
      <c r="O73" s="573">
        <v>2000</v>
      </c>
      <c r="P73" s="573">
        <v>2648</v>
      </c>
      <c r="Q73" s="573">
        <v>1479</v>
      </c>
      <c r="R73" s="574">
        <f>E73/D73*100</f>
        <v>100.7171341442981</v>
      </c>
    </row>
    <row r="74" spans="1:18" s="522" customFormat="1" ht="33.75" customHeight="1">
      <c r="A74" s="548"/>
      <c r="B74" s="549" t="s">
        <v>672</v>
      </c>
      <c r="C74" s="567" t="s">
        <v>150</v>
      </c>
      <c r="D74" s="573">
        <v>274</v>
      </c>
      <c r="E74" s="573">
        <f>SUM(F74:Q74)</f>
        <v>357</v>
      </c>
      <c r="F74" s="573">
        <v>125</v>
      </c>
      <c r="G74" s="573">
        <v>43</v>
      </c>
      <c r="H74" s="573">
        <v>23</v>
      </c>
      <c r="I74" s="573">
        <v>26</v>
      </c>
      <c r="J74" s="573">
        <v>23</v>
      </c>
      <c r="K74" s="573">
        <v>28</v>
      </c>
      <c r="L74" s="573">
        <v>6</v>
      </c>
      <c r="M74" s="573">
        <v>23</v>
      </c>
      <c r="N74" s="573">
        <v>2</v>
      </c>
      <c r="O74" s="573">
        <v>31</v>
      </c>
      <c r="P74" s="573">
        <v>18</v>
      </c>
      <c r="Q74" s="573">
        <v>9</v>
      </c>
      <c r="R74" s="574">
        <f>E74/D74*100</f>
        <v>130.2919708029197</v>
      </c>
    </row>
    <row r="75" spans="1:18" s="522" customFormat="1" ht="24" customHeight="1">
      <c r="A75" s="548"/>
      <c r="B75" s="552" t="s">
        <v>673</v>
      </c>
      <c r="C75" s="568"/>
      <c r="D75" s="589"/>
      <c r="E75" s="588">
        <v>1.19</v>
      </c>
      <c r="F75" s="574"/>
      <c r="G75" s="574"/>
      <c r="H75" s="574"/>
      <c r="I75" s="574"/>
      <c r="J75" s="574"/>
      <c r="K75" s="574"/>
      <c r="L75" s="574"/>
      <c r="M75" s="574"/>
      <c r="N75" s="574"/>
      <c r="O75" s="574"/>
      <c r="P75" s="574"/>
      <c r="Q75" s="574"/>
      <c r="R75" s="580"/>
    </row>
    <row r="76" spans="1:18" s="519" customFormat="1" ht="33.75" customHeight="1" hidden="1">
      <c r="A76" s="550"/>
      <c r="B76" s="552" t="s">
        <v>674</v>
      </c>
      <c r="C76" s="570" t="s">
        <v>13</v>
      </c>
      <c r="D76" s="580"/>
      <c r="E76" s="573"/>
      <c r="F76" s="590"/>
      <c r="G76" s="590"/>
      <c r="H76" s="590"/>
      <c r="I76" s="590"/>
      <c r="J76" s="590"/>
      <c r="K76" s="590"/>
      <c r="L76" s="590"/>
      <c r="M76" s="590"/>
      <c r="N76" s="590"/>
      <c r="O76" s="590"/>
      <c r="P76" s="590"/>
      <c r="Q76" s="590"/>
      <c r="R76" s="575"/>
    </row>
    <row r="77" spans="1:19" s="522" customFormat="1" ht="24" customHeight="1">
      <c r="A77" s="542" t="s">
        <v>187</v>
      </c>
      <c r="B77" s="564" t="s">
        <v>46</v>
      </c>
      <c r="C77" s="562" t="s">
        <v>675</v>
      </c>
      <c r="D77" s="572">
        <f>D78</f>
        <v>304</v>
      </c>
      <c r="E77" s="572">
        <f>E78</f>
        <v>500</v>
      </c>
      <c r="F77" s="572"/>
      <c r="G77" s="572"/>
      <c r="H77" s="572"/>
      <c r="I77" s="572"/>
      <c r="J77" s="572"/>
      <c r="K77" s="572"/>
      <c r="L77" s="572"/>
      <c r="M77" s="572"/>
      <c r="N77" s="572"/>
      <c r="O77" s="572"/>
      <c r="P77" s="572"/>
      <c r="Q77" s="572"/>
      <c r="R77" s="572">
        <f>E77-D77</f>
        <v>196</v>
      </c>
      <c r="S77" s="529"/>
    </row>
    <row r="78" spans="1:23" s="519" customFormat="1" ht="33.75" customHeight="1">
      <c r="A78" s="540"/>
      <c r="B78" s="545" t="s">
        <v>551</v>
      </c>
      <c r="C78" s="563" t="s">
        <v>675</v>
      </c>
      <c r="D78" s="575">
        <v>304</v>
      </c>
      <c r="E78" s="546">
        <v>500</v>
      </c>
      <c r="F78" s="575"/>
      <c r="G78" s="575"/>
      <c r="H78" s="575"/>
      <c r="I78" s="575"/>
      <c r="J78" s="575"/>
      <c r="K78" s="575"/>
      <c r="L78" s="575"/>
      <c r="M78" s="575"/>
      <c r="N78" s="575"/>
      <c r="O78" s="575"/>
      <c r="P78" s="575"/>
      <c r="Q78" s="575"/>
      <c r="R78" s="575">
        <f>E78-D78</f>
        <v>196</v>
      </c>
      <c r="S78" s="522"/>
      <c r="T78" s="522"/>
      <c r="U78" s="522"/>
      <c r="V78" s="522"/>
      <c r="W78" s="522"/>
    </row>
    <row r="79" spans="1:23" s="519" customFormat="1" ht="18" customHeight="1">
      <c r="A79" s="544"/>
      <c r="B79" s="545" t="s">
        <v>432</v>
      </c>
      <c r="C79" s="563" t="s">
        <v>675</v>
      </c>
      <c r="D79" s="575">
        <v>304</v>
      </c>
      <c r="E79" s="546">
        <v>500</v>
      </c>
      <c r="F79" s="575"/>
      <c r="G79" s="575"/>
      <c r="H79" s="575"/>
      <c r="I79" s="575"/>
      <c r="J79" s="575"/>
      <c r="K79" s="575"/>
      <c r="L79" s="575"/>
      <c r="M79" s="575"/>
      <c r="N79" s="575"/>
      <c r="O79" s="575"/>
      <c r="P79" s="575"/>
      <c r="Q79" s="575"/>
      <c r="R79" s="575">
        <f>E79-D79</f>
        <v>196</v>
      </c>
      <c r="S79" s="529"/>
      <c r="T79" s="522"/>
      <c r="U79" s="522"/>
      <c r="V79" s="522"/>
      <c r="W79" s="522"/>
    </row>
    <row r="80" spans="1:18" s="530" customFormat="1" ht="17.25" customHeight="1" hidden="1">
      <c r="A80" s="553"/>
      <c r="B80" s="525" t="s">
        <v>29</v>
      </c>
      <c r="C80" s="553" t="s">
        <v>27</v>
      </c>
      <c r="D80" s="523"/>
      <c r="E80" s="554">
        <f aca="true" t="shared" si="18" ref="E80:E88">SUM(F80:Q80)</f>
        <v>0</v>
      </c>
      <c r="F80" s="555"/>
      <c r="G80" s="555"/>
      <c r="H80" s="555"/>
      <c r="I80" s="555"/>
      <c r="J80" s="555"/>
      <c r="K80" s="555"/>
      <c r="L80" s="555"/>
      <c r="M80" s="555"/>
      <c r="N80" s="555"/>
      <c r="O80" s="555"/>
      <c r="P80" s="555"/>
      <c r="Q80" s="555"/>
      <c r="R80" s="556" t="e">
        <f aca="true" t="shared" si="19" ref="R80:R88">E80/D80*100</f>
        <v>#DIV/0!</v>
      </c>
    </row>
    <row r="81" spans="1:18" s="530" customFormat="1" ht="17.25" customHeight="1" hidden="1">
      <c r="A81" s="553"/>
      <c r="B81" s="525" t="s">
        <v>30</v>
      </c>
      <c r="C81" s="553" t="s">
        <v>27</v>
      </c>
      <c r="D81" s="523"/>
      <c r="E81" s="554">
        <f t="shared" si="18"/>
        <v>0</v>
      </c>
      <c r="F81" s="557"/>
      <c r="G81" s="557"/>
      <c r="H81" s="557"/>
      <c r="I81" s="557"/>
      <c r="J81" s="557"/>
      <c r="K81" s="557"/>
      <c r="L81" s="557"/>
      <c r="M81" s="557"/>
      <c r="N81" s="557"/>
      <c r="O81" s="557"/>
      <c r="P81" s="557"/>
      <c r="Q81" s="557"/>
      <c r="R81" s="556" t="e">
        <f t="shared" si="19"/>
        <v>#DIV/0!</v>
      </c>
    </row>
    <row r="82" spans="1:18" s="530" customFormat="1" ht="17.25" customHeight="1" hidden="1">
      <c r="A82" s="553"/>
      <c r="B82" s="525" t="s">
        <v>31</v>
      </c>
      <c r="C82" s="553" t="s">
        <v>27</v>
      </c>
      <c r="D82" s="523"/>
      <c r="E82" s="554">
        <f t="shared" si="18"/>
        <v>0</v>
      </c>
      <c r="F82" s="557"/>
      <c r="G82" s="557"/>
      <c r="H82" s="557"/>
      <c r="I82" s="557"/>
      <c r="J82" s="557"/>
      <c r="K82" s="557"/>
      <c r="L82" s="557"/>
      <c r="M82" s="557"/>
      <c r="N82" s="557"/>
      <c r="O82" s="557"/>
      <c r="P82" s="557"/>
      <c r="Q82" s="557"/>
      <c r="R82" s="556" t="e">
        <f t="shared" si="19"/>
        <v>#DIV/0!</v>
      </c>
    </row>
    <row r="83" spans="1:18" s="530" customFormat="1" ht="17.25" customHeight="1" hidden="1">
      <c r="A83" s="553"/>
      <c r="B83" s="525" t="s">
        <v>32</v>
      </c>
      <c r="C83" s="553" t="s">
        <v>27</v>
      </c>
      <c r="D83" s="523"/>
      <c r="E83" s="554">
        <f t="shared" si="18"/>
        <v>0</v>
      </c>
      <c r="F83" s="557"/>
      <c r="G83" s="557"/>
      <c r="H83" s="557"/>
      <c r="I83" s="557"/>
      <c r="J83" s="557"/>
      <c r="K83" s="557"/>
      <c r="L83" s="557"/>
      <c r="M83" s="557"/>
      <c r="N83" s="557"/>
      <c r="O83" s="557"/>
      <c r="P83" s="557"/>
      <c r="Q83" s="557"/>
      <c r="R83" s="556" t="e">
        <f t="shared" si="19"/>
        <v>#DIV/0!</v>
      </c>
    </row>
    <row r="84" spans="1:18" s="530" customFormat="1" ht="17.25" customHeight="1" hidden="1">
      <c r="A84" s="553"/>
      <c r="B84" s="525" t="s">
        <v>33</v>
      </c>
      <c r="C84" s="553" t="s">
        <v>27</v>
      </c>
      <c r="D84" s="523"/>
      <c r="E84" s="554">
        <f t="shared" si="18"/>
        <v>0</v>
      </c>
      <c r="F84" s="557"/>
      <c r="G84" s="557"/>
      <c r="H84" s="557"/>
      <c r="I84" s="557"/>
      <c r="J84" s="557"/>
      <c r="K84" s="557"/>
      <c r="L84" s="557"/>
      <c r="M84" s="557"/>
      <c r="N84" s="557"/>
      <c r="O84" s="557"/>
      <c r="P84" s="557"/>
      <c r="Q84" s="557"/>
      <c r="R84" s="556" t="e">
        <f t="shared" si="19"/>
        <v>#DIV/0!</v>
      </c>
    </row>
    <row r="85" spans="1:18" s="530" customFormat="1" ht="17.25" customHeight="1" hidden="1">
      <c r="A85" s="553"/>
      <c r="B85" s="525" t="s">
        <v>34</v>
      </c>
      <c r="C85" s="553" t="s">
        <v>27</v>
      </c>
      <c r="D85" s="523"/>
      <c r="E85" s="554">
        <f t="shared" si="18"/>
        <v>0</v>
      </c>
      <c r="F85" s="557"/>
      <c r="G85" s="557"/>
      <c r="H85" s="557"/>
      <c r="I85" s="557"/>
      <c r="J85" s="557"/>
      <c r="K85" s="557"/>
      <c r="L85" s="557"/>
      <c r="M85" s="557"/>
      <c r="N85" s="557"/>
      <c r="O85" s="557"/>
      <c r="P85" s="557"/>
      <c r="Q85" s="557"/>
      <c r="R85" s="556" t="e">
        <f t="shared" si="19"/>
        <v>#DIV/0!</v>
      </c>
    </row>
    <row r="86" spans="1:18" s="531" customFormat="1" ht="17.25" customHeight="1" hidden="1">
      <c r="A86" s="558">
        <v>3</v>
      </c>
      <c r="B86" s="559" t="s">
        <v>35</v>
      </c>
      <c r="C86" s="558" t="s">
        <v>36</v>
      </c>
      <c r="D86" s="555"/>
      <c r="E86" s="554">
        <f t="shared" si="18"/>
        <v>0</v>
      </c>
      <c r="F86" s="560"/>
      <c r="G86" s="560"/>
      <c r="H86" s="560"/>
      <c r="I86" s="560"/>
      <c r="J86" s="560"/>
      <c r="K86" s="560"/>
      <c r="L86" s="560"/>
      <c r="M86" s="560"/>
      <c r="N86" s="560"/>
      <c r="O86" s="560"/>
      <c r="P86" s="560"/>
      <c r="Q86" s="560"/>
      <c r="R86" s="556" t="e">
        <f t="shared" si="19"/>
        <v>#DIV/0!</v>
      </c>
    </row>
    <row r="87" spans="1:18" s="530" customFormat="1" ht="17.25" customHeight="1" hidden="1">
      <c r="A87" s="553"/>
      <c r="B87" s="525" t="s">
        <v>37</v>
      </c>
      <c r="C87" s="553" t="s">
        <v>36</v>
      </c>
      <c r="D87" s="557"/>
      <c r="E87" s="554">
        <f t="shared" si="18"/>
        <v>0</v>
      </c>
      <c r="F87" s="561"/>
      <c r="G87" s="561"/>
      <c r="H87" s="561"/>
      <c r="I87" s="561"/>
      <c r="J87" s="561"/>
      <c r="K87" s="561"/>
      <c r="L87" s="561"/>
      <c r="M87" s="561"/>
      <c r="N87" s="561"/>
      <c r="O87" s="561"/>
      <c r="P87" s="561"/>
      <c r="Q87" s="561"/>
      <c r="R87" s="556" t="e">
        <f t="shared" si="19"/>
        <v>#DIV/0!</v>
      </c>
    </row>
    <row r="88" spans="1:18" s="530" customFormat="1" ht="17.25" customHeight="1" hidden="1">
      <c r="A88" s="553"/>
      <c r="B88" s="525" t="s">
        <v>38</v>
      </c>
      <c r="C88" s="553" t="s">
        <v>36</v>
      </c>
      <c r="D88" s="557"/>
      <c r="E88" s="554">
        <f t="shared" si="18"/>
        <v>0</v>
      </c>
      <c r="F88" s="523"/>
      <c r="G88" s="523"/>
      <c r="H88" s="523"/>
      <c r="I88" s="523"/>
      <c r="J88" s="523"/>
      <c r="K88" s="523"/>
      <c r="L88" s="523"/>
      <c r="M88" s="523"/>
      <c r="N88" s="523"/>
      <c r="O88" s="523"/>
      <c r="P88" s="523"/>
      <c r="Q88" s="523"/>
      <c r="R88" s="556" t="e">
        <f t="shared" si="19"/>
        <v>#DIV/0!</v>
      </c>
    </row>
    <row r="89" spans="5:17" s="3" customFormat="1" ht="15">
      <c r="E89" s="203"/>
      <c r="F89" s="48"/>
      <c r="G89" s="48"/>
      <c r="H89" s="48"/>
      <c r="I89" s="48"/>
      <c r="J89" s="48"/>
      <c r="K89" s="48"/>
      <c r="L89" s="48"/>
      <c r="M89" s="48"/>
      <c r="N89" s="48"/>
      <c r="O89" s="48"/>
      <c r="P89" s="48"/>
      <c r="Q89" s="48"/>
    </row>
    <row r="90" spans="5:17" s="3" customFormat="1" ht="15">
      <c r="E90" s="203"/>
      <c r="F90" s="48"/>
      <c r="G90" s="48"/>
      <c r="H90" s="48"/>
      <c r="I90" s="48"/>
      <c r="J90" s="48"/>
      <c r="K90" s="48"/>
      <c r="L90" s="48"/>
      <c r="M90" s="48"/>
      <c r="N90" s="48"/>
      <c r="O90" s="48"/>
      <c r="P90" s="48"/>
      <c r="Q90" s="48"/>
    </row>
    <row r="91" spans="1:18" s="3" customFormat="1" ht="15">
      <c r="A91" s="532"/>
      <c r="B91" s="532"/>
      <c r="C91" s="532"/>
      <c r="D91" s="532"/>
      <c r="E91" s="533"/>
      <c r="F91" s="532"/>
      <c r="G91" s="532"/>
      <c r="H91" s="532"/>
      <c r="I91" s="532"/>
      <c r="J91" s="532"/>
      <c r="K91" s="532"/>
      <c r="L91" s="532"/>
      <c r="M91" s="534"/>
      <c r="N91" s="534"/>
      <c r="O91" s="534"/>
      <c r="P91" s="534"/>
      <c r="Q91" s="534"/>
      <c r="R91" s="534"/>
    </row>
    <row r="92" spans="5:17" s="3" customFormat="1" ht="15">
      <c r="E92" s="203"/>
      <c r="F92" s="48"/>
      <c r="G92" s="48"/>
      <c r="H92" s="48"/>
      <c r="I92" s="48"/>
      <c r="J92" s="48"/>
      <c r="K92" s="48"/>
      <c r="L92" s="48"/>
      <c r="M92" s="48"/>
      <c r="N92" s="48"/>
      <c r="O92" s="48"/>
      <c r="P92" s="48"/>
      <c r="Q92" s="48"/>
    </row>
    <row r="93" spans="5:17" s="3" customFormat="1" ht="15">
      <c r="E93" s="203"/>
      <c r="F93" s="48"/>
      <c r="G93" s="48"/>
      <c r="H93" s="48"/>
      <c r="I93" s="48"/>
      <c r="J93" s="48"/>
      <c r="K93" s="48"/>
      <c r="L93" s="48"/>
      <c r="M93" s="48"/>
      <c r="N93" s="48"/>
      <c r="O93" s="48"/>
      <c r="P93" s="48"/>
      <c r="Q93" s="48"/>
    </row>
    <row r="94" spans="5:17" s="3" customFormat="1" ht="15">
      <c r="E94" s="203"/>
      <c r="F94" s="48"/>
      <c r="G94" s="48"/>
      <c r="H94" s="48"/>
      <c r="I94" s="48"/>
      <c r="J94" s="48"/>
      <c r="K94" s="48"/>
      <c r="L94" s="48"/>
      <c r="M94" s="48"/>
      <c r="N94" s="48"/>
      <c r="O94" s="48"/>
      <c r="P94" s="48"/>
      <c r="Q94" s="48"/>
    </row>
    <row r="95" spans="5:17" s="3" customFormat="1" ht="15">
      <c r="E95" s="203"/>
      <c r="F95" s="48"/>
      <c r="G95" s="48"/>
      <c r="H95" s="48"/>
      <c r="I95" s="48"/>
      <c r="J95" s="48"/>
      <c r="K95" s="48"/>
      <c r="L95" s="48"/>
      <c r="M95" s="48"/>
      <c r="N95" s="48"/>
      <c r="O95" s="48"/>
      <c r="P95" s="48"/>
      <c r="Q95" s="48"/>
    </row>
    <row r="96" spans="5:17" s="3" customFormat="1" ht="15">
      <c r="E96" s="203"/>
      <c r="F96" s="48"/>
      <c r="G96" s="48"/>
      <c r="H96" s="48"/>
      <c r="I96" s="48"/>
      <c r="J96" s="48"/>
      <c r="K96" s="48"/>
      <c r="L96" s="48"/>
      <c r="M96" s="48"/>
      <c r="N96" s="48"/>
      <c r="O96" s="48"/>
      <c r="P96" s="48"/>
      <c r="Q96" s="48"/>
    </row>
    <row r="97" spans="5:17" s="3" customFormat="1" ht="15">
      <c r="E97" s="203"/>
      <c r="F97" s="48"/>
      <c r="G97" s="48"/>
      <c r="H97" s="48"/>
      <c r="I97" s="48"/>
      <c r="J97" s="48"/>
      <c r="K97" s="48"/>
      <c r="L97" s="48"/>
      <c r="M97" s="48"/>
      <c r="N97" s="48"/>
      <c r="O97" s="48"/>
      <c r="P97" s="48"/>
      <c r="Q97" s="48"/>
    </row>
    <row r="98" spans="5:17" s="3" customFormat="1" ht="15">
      <c r="E98" s="535"/>
      <c r="F98" s="536"/>
      <c r="G98" s="536"/>
      <c r="H98" s="536"/>
      <c r="I98" s="536"/>
      <c r="J98" s="536"/>
      <c r="K98" s="536"/>
      <c r="L98" s="536"/>
      <c r="M98" s="536"/>
      <c r="N98" s="536"/>
      <c r="O98" s="536"/>
      <c r="P98" s="536"/>
      <c r="Q98" s="536"/>
    </row>
    <row r="99" spans="5:17" s="3" customFormat="1" ht="15">
      <c r="E99" s="535"/>
      <c r="F99" s="537"/>
      <c r="G99" s="537"/>
      <c r="H99" s="537"/>
      <c r="I99" s="537"/>
      <c r="J99" s="537"/>
      <c r="K99" s="537"/>
      <c r="L99" s="537"/>
      <c r="M99" s="537"/>
      <c r="N99" s="537"/>
      <c r="O99" s="537"/>
      <c r="P99" s="537"/>
      <c r="Q99" s="537"/>
    </row>
    <row r="100" spans="5:17" s="3" customFormat="1" ht="15">
      <c r="E100" s="535"/>
      <c r="F100" s="48"/>
      <c r="G100" s="48"/>
      <c r="H100" s="48"/>
      <c r="I100" s="48"/>
      <c r="J100" s="48"/>
      <c r="K100" s="48"/>
      <c r="L100" s="48"/>
      <c r="M100" s="48"/>
      <c r="N100" s="48"/>
      <c r="O100" s="48"/>
      <c r="P100" s="48"/>
      <c r="Q100" s="48"/>
    </row>
    <row r="101" spans="5:17" s="3" customFormat="1" ht="15">
      <c r="E101" s="535"/>
      <c r="F101" s="48"/>
      <c r="G101" s="538"/>
      <c r="H101" s="538"/>
      <c r="I101" s="538"/>
      <c r="J101" s="538"/>
      <c r="K101" s="538"/>
      <c r="L101" s="538"/>
      <c r="M101" s="538"/>
      <c r="N101" s="538"/>
      <c r="O101" s="538"/>
      <c r="P101" s="538"/>
      <c r="Q101" s="538"/>
    </row>
    <row r="102" spans="5:17" s="3" customFormat="1" ht="15">
      <c r="E102" s="203"/>
      <c r="F102" s="539"/>
      <c r="G102" s="48"/>
      <c r="H102" s="48"/>
      <c r="I102" s="48"/>
      <c r="J102" s="48"/>
      <c r="K102" s="48"/>
      <c r="L102" s="48"/>
      <c r="M102" s="48"/>
      <c r="N102" s="48"/>
      <c r="O102" s="48"/>
      <c r="P102" s="48"/>
      <c r="Q102" s="48"/>
    </row>
    <row r="103" spans="5:17" s="3" customFormat="1" ht="15">
      <c r="E103" s="203"/>
      <c r="F103" s="48"/>
      <c r="G103" s="48"/>
      <c r="H103" s="48"/>
      <c r="I103" s="48"/>
      <c r="J103" s="48"/>
      <c r="K103" s="48"/>
      <c r="L103" s="48"/>
      <c r="M103" s="48"/>
      <c r="N103" s="48"/>
      <c r="O103" s="48"/>
      <c r="P103" s="48"/>
      <c r="Q103" s="48"/>
    </row>
    <row r="104" spans="5:17" s="3" customFormat="1" ht="15">
      <c r="E104" s="203"/>
      <c r="F104" s="48"/>
      <c r="G104" s="536"/>
      <c r="H104" s="48"/>
      <c r="I104" s="48"/>
      <c r="J104" s="48"/>
      <c r="K104" s="48"/>
      <c r="L104" s="48"/>
      <c r="M104" s="48"/>
      <c r="N104" s="48"/>
      <c r="O104" s="48"/>
      <c r="P104" s="48"/>
      <c r="Q104" s="48"/>
    </row>
    <row r="105" spans="5:17" s="3" customFormat="1" ht="15">
      <c r="E105" s="203"/>
      <c r="F105" s="48"/>
      <c r="G105" s="48"/>
      <c r="H105" s="48"/>
      <c r="I105" s="48"/>
      <c r="J105" s="48"/>
      <c r="K105" s="48"/>
      <c r="L105" s="48"/>
      <c r="M105" s="48"/>
      <c r="N105" s="48"/>
      <c r="O105" s="48"/>
      <c r="P105" s="48"/>
      <c r="Q105" s="48"/>
    </row>
    <row r="106" spans="5:17" s="3" customFormat="1" ht="15">
      <c r="E106" s="203"/>
      <c r="F106" s="48"/>
      <c r="G106" s="48"/>
      <c r="H106" s="48"/>
      <c r="I106" s="48"/>
      <c r="J106" s="48"/>
      <c r="K106" s="48"/>
      <c r="L106" s="48"/>
      <c r="M106" s="48"/>
      <c r="N106" s="48"/>
      <c r="O106" s="48"/>
      <c r="P106" s="48"/>
      <c r="Q106" s="48"/>
    </row>
    <row r="110" spans="1:18" ht="15">
      <c r="A110" s="43"/>
      <c r="B110" s="3"/>
      <c r="E110" s="203"/>
      <c r="F110" s="48"/>
      <c r="G110" s="48"/>
      <c r="H110" s="48"/>
      <c r="I110" s="48"/>
      <c r="J110" s="48"/>
      <c r="K110" s="48"/>
      <c r="L110" s="48"/>
      <c r="M110" s="48"/>
      <c r="N110" s="48"/>
      <c r="O110" s="48"/>
      <c r="P110" s="48"/>
      <c r="Q110" s="48"/>
      <c r="R110" s="3"/>
    </row>
    <row r="111" spans="1:18" ht="15">
      <c r="A111" s="43"/>
      <c r="B111" s="131"/>
      <c r="D111" s="44"/>
      <c r="E111" s="203"/>
      <c r="F111" s="48"/>
      <c r="G111" s="48"/>
      <c r="H111" s="48"/>
      <c r="I111" s="48"/>
      <c r="J111" s="48"/>
      <c r="K111" s="48"/>
      <c r="L111" s="48"/>
      <c r="M111" s="48"/>
      <c r="N111" s="48"/>
      <c r="O111" s="48"/>
      <c r="P111" s="48"/>
      <c r="Q111" s="48"/>
      <c r="R111" s="3"/>
    </row>
    <row r="112" spans="1:18" ht="15">
      <c r="A112" s="43"/>
      <c r="B112" s="131"/>
      <c r="E112" s="203"/>
      <c r="F112" s="48"/>
      <c r="G112" s="48"/>
      <c r="H112" s="48"/>
      <c r="I112" s="48"/>
      <c r="J112" s="48"/>
      <c r="K112" s="48"/>
      <c r="L112" s="48"/>
      <c r="M112" s="48"/>
      <c r="N112" s="48"/>
      <c r="O112" s="48"/>
      <c r="P112" s="48"/>
      <c r="Q112" s="48"/>
      <c r="R112" s="3"/>
    </row>
    <row r="113" spans="1:18" ht="15">
      <c r="A113" s="43"/>
      <c r="B113" s="131"/>
      <c r="E113" s="203"/>
      <c r="F113" s="48"/>
      <c r="G113" s="48"/>
      <c r="H113" s="48"/>
      <c r="I113" s="48"/>
      <c r="J113" s="48"/>
      <c r="K113" s="48"/>
      <c r="L113" s="48"/>
      <c r="M113" s="48"/>
      <c r="N113" s="48"/>
      <c r="O113" s="48"/>
      <c r="P113" s="48"/>
      <c r="Q113" s="48"/>
      <c r="R113" s="3"/>
    </row>
    <row r="114" ht="15">
      <c r="B114" s="131"/>
    </row>
    <row r="115" ht="15">
      <c r="B115" s="132"/>
    </row>
    <row r="116" ht="15">
      <c r="B116" s="131"/>
    </row>
    <row r="117" ht="15">
      <c r="B117" s="131"/>
    </row>
    <row r="118" ht="15">
      <c r="B118" s="131"/>
    </row>
    <row r="119" ht="15">
      <c r="B119" s="131"/>
    </row>
    <row r="120" ht="15">
      <c r="B120" s="131"/>
    </row>
    <row r="121" ht="15">
      <c r="B121" s="132"/>
    </row>
    <row r="122" spans="1:4" ht="15">
      <c r="A122" s="40"/>
      <c r="B122" s="40"/>
      <c r="C122" s="40"/>
      <c r="D122" s="40"/>
    </row>
    <row r="123" spans="5:17" s="40" customFormat="1" ht="20.25" customHeight="1">
      <c r="E123" s="45"/>
      <c r="F123" s="50"/>
      <c r="G123" s="50"/>
      <c r="H123" s="50"/>
      <c r="I123" s="50"/>
      <c r="J123" s="50"/>
      <c r="K123" s="50"/>
      <c r="L123" s="50"/>
      <c r="M123" s="50"/>
      <c r="N123" s="50"/>
      <c r="O123" s="50"/>
      <c r="P123" s="50"/>
      <c r="Q123" s="50"/>
    </row>
    <row r="124" spans="5:17" s="40" customFormat="1" ht="20.25" customHeight="1">
      <c r="E124" s="45"/>
      <c r="F124" s="50"/>
      <c r="G124" s="50"/>
      <c r="H124" s="50"/>
      <c r="I124" s="50"/>
      <c r="J124" s="50"/>
      <c r="K124" s="50"/>
      <c r="L124" s="50"/>
      <c r="M124" s="50"/>
      <c r="N124" s="50"/>
      <c r="O124" s="50"/>
      <c r="P124" s="50"/>
      <c r="Q124" s="50"/>
    </row>
    <row r="125" spans="5:17" s="40" customFormat="1" ht="20.25" customHeight="1">
      <c r="E125" s="45"/>
      <c r="F125" s="50"/>
      <c r="G125" s="50"/>
      <c r="H125" s="50"/>
      <c r="I125" s="50"/>
      <c r="J125" s="50"/>
      <c r="K125" s="50"/>
      <c r="L125" s="50"/>
      <c r="M125" s="50"/>
      <c r="N125" s="50"/>
      <c r="O125" s="50"/>
      <c r="P125" s="50"/>
      <c r="Q125" s="50"/>
    </row>
    <row r="126" spans="5:17" s="40" customFormat="1" ht="20.25" customHeight="1">
      <c r="E126" s="45"/>
      <c r="F126" s="50"/>
      <c r="G126" s="50"/>
      <c r="H126" s="50"/>
      <c r="I126" s="50"/>
      <c r="J126" s="50"/>
      <c r="K126" s="50"/>
      <c r="L126" s="50"/>
      <c r="M126" s="50"/>
      <c r="N126" s="50"/>
      <c r="O126" s="50"/>
      <c r="P126" s="50"/>
      <c r="Q126" s="50"/>
    </row>
    <row r="127" spans="5:17" s="40" customFormat="1" ht="20.25" customHeight="1">
      <c r="E127" s="45"/>
      <c r="F127" s="50"/>
      <c r="G127" s="50"/>
      <c r="H127" s="50"/>
      <c r="I127" s="50"/>
      <c r="J127" s="50"/>
      <c r="K127" s="50"/>
      <c r="L127" s="50"/>
      <c r="M127" s="50"/>
      <c r="N127" s="50"/>
      <c r="O127" s="50"/>
      <c r="P127" s="50"/>
      <c r="Q127" s="50"/>
    </row>
    <row r="128" spans="5:17" s="40" customFormat="1" ht="20.25" customHeight="1">
      <c r="E128" s="45"/>
      <c r="F128" s="50"/>
      <c r="G128" s="50"/>
      <c r="H128" s="50"/>
      <c r="I128" s="50"/>
      <c r="J128" s="50"/>
      <c r="K128" s="50"/>
      <c r="L128" s="50"/>
      <c r="M128" s="50"/>
      <c r="N128" s="50"/>
      <c r="O128" s="50"/>
      <c r="P128" s="50"/>
      <c r="Q128" s="50"/>
    </row>
    <row r="129" spans="5:17" s="40" customFormat="1" ht="20.25" customHeight="1">
      <c r="E129" s="45"/>
      <c r="F129" s="50"/>
      <c r="G129" s="50"/>
      <c r="H129" s="50"/>
      <c r="I129" s="50"/>
      <c r="J129" s="50"/>
      <c r="K129" s="50"/>
      <c r="L129" s="50"/>
      <c r="M129" s="50"/>
      <c r="N129" s="50"/>
      <c r="O129" s="50"/>
      <c r="P129" s="50"/>
      <c r="Q129" s="50"/>
    </row>
    <row r="130" spans="5:17" s="40" customFormat="1" ht="20.25" customHeight="1">
      <c r="E130" s="45"/>
      <c r="F130" s="50"/>
      <c r="G130" s="50"/>
      <c r="H130" s="50"/>
      <c r="I130" s="50"/>
      <c r="J130" s="50"/>
      <c r="K130" s="50"/>
      <c r="L130" s="50"/>
      <c r="M130" s="50"/>
      <c r="N130" s="50"/>
      <c r="O130" s="50"/>
      <c r="P130" s="50"/>
      <c r="Q130" s="50"/>
    </row>
    <row r="131" spans="5:17" s="40" customFormat="1" ht="20.25" customHeight="1">
      <c r="E131" s="45"/>
      <c r="F131" s="50"/>
      <c r="G131" s="50"/>
      <c r="H131" s="50"/>
      <c r="I131" s="50"/>
      <c r="J131" s="50"/>
      <c r="K131" s="50"/>
      <c r="L131" s="50"/>
      <c r="M131" s="50"/>
      <c r="N131" s="50"/>
      <c r="O131" s="50"/>
      <c r="P131" s="50"/>
      <c r="Q131" s="50"/>
    </row>
    <row r="132" spans="5:17" s="40" customFormat="1" ht="20.25" customHeight="1">
      <c r="E132" s="45"/>
      <c r="F132" s="50"/>
      <c r="G132" s="50"/>
      <c r="H132" s="50"/>
      <c r="I132" s="50"/>
      <c r="J132" s="50"/>
      <c r="K132" s="50"/>
      <c r="L132" s="50"/>
      <c r="M132" s="50"/>
      <c r="N132" s="50"/>
      <c r="O132" s="50"/>
      <c r="P132" s="50"/>
      <c r="Q132" s="50"/>
    </row>
    <row r="133" spans="5:17" s="40" customFormat="1" ht="20.25" customHeight="1">
      <c r="E133" s="45"/>
      <c r="F133" s="50"/>
      <c r="G133" s="50"/>
      <c r="H133" s="50"/>
      <c r="I133" s="50"/>
      <c r="J133" s="50"/>
      <c r="K133" s="50"/>
      <c r="L133" s="50"/>
      <c r="M133" s="50"/>
      <c r="N133" s="50"/>
      <c r="O133" s="50"/>
      <c r="P133" s="50"/>
      <c r="Q133" s="50"/>
    </row>
    <row r="134" spans="5:17" s="40" customFormat="1" ht="20.25" customHeight="1">
      <c r="E134" s="45"/>
      <c r="F134" s="50"/>
      <c r="G134" s="50"/>
      <c r="H134" s="50"/>
      <c r="I134" s="50"/>
      <c r="J134" s="50"/>
      <c r="K134" s="50"/>
      <c r="L134" s="50"/>
      <c r="M134" s="50"/>
      <c r="N134" s="50"/>
      <c r="O134" s="50"/>
      <c r="P134" s="50"/>
      <c r="Q134" s="50"/>
    </row>
    <row r="135" spans="5:17" s="40" customFormat="1" ht="14.25">
      <c r="E135" s="45"/>
      <c r="F135" s="50"/>
      <c r="G135" s="50"/>
      <c r="H135" s="50"/>
      <c r="I135" s="50"/>
      <c r="J135" s="50"/>
      <c r="K135" s="50"/>
      <c r="L135" s="50"/>
      <c r="M135" s="50"/>
      <c r="N135" s="50"/>
      <c r="O135" s="50"/>
      <c r="P135" s="50"/>
      <c r="Q135" s="50"/>
    </row>
    <row r="136" spans="1:17" s="40" customFormat="1" ht="14.25">
      <c r="A136" s="45"/>
      <c r="E136" s="45"/>
      <c r="F136" s="50"/>
      <c r="G136" s="50"/>
      <c r="H136" s="50"/>
      <c r="I136" s="50"/>
      <c r="J136" s="50"/>
      <c r="K136" s="50"/>
      <c r="L136" s="50"/>
      <c r="M136" s="50"/>
      <c r="N136" s="50"/>
      <c r="O136" s="50"/>
      <c r="P136" s="50"/>
      <c r="Q136" s="50"/>
    </row>
  </sheetData>
  <sheetProtection/>
  <mergeCells count="11">
    <mergeCell ref="F6:Q6"/>
    <mergeCell ref="E5:Q5"/>
    <mergeCell ref="C5:C7"/>
    <mergeCell ref="D5:D7"/>
    <mergeCell ref="B5:B7"/>
    <mergeCell ref="A2:R2"/>
    <mergeCell ref="A3:R3"/>
    <mergeCell ref="A4:R4"/>
    <mergeCell ref="A5:A7"/>
    <mergeCell ref="R6:R7"/>
    <mergeCell ref="E6:E7"/>
  </mergeCells>
  <printOptions/>
  <pageMargins left="0.498" right="0.453" top="1" bottom="0.35" header="0" footer="0"/>
  <pageSetup horizontalDpi="600" verticalDpi="600" orientation="landscape" paperSize="9" scale="70" r:id="rId3"/>
  <colBreaks count="1" manualBreakCount="1">
    <brk id="18" max="87" man="1"/>
  </colBreaks>
  <legacyDrawing r:id="rId2"/>
</worksheet>
</file>

<file path=xl/worksheets/sheet4.xml><?xml version="1.0" encoding="utf-8"?>
<worksheet xmlns="http://schemas.openxmlformats.org/spreadsheetml/2006/main" xmlns:r="http://schemas.openxmlformats.org/officeDocument/2006/relationships">
  <dimension ref="A1:EN106"/>
  <sheetViews>
    <sheetView zoomScale="115" zoomScaleNormal="115" zoomScalePageLayoutView="0" workbookViewId="0" topLeftCell="A136">
      <selection activeCell="E5" sqref="E5:E7"/>
    </sheetView>
  </sheetViews>
  <sheetFormatPr defaultColWidth="10.28125" defaultRowHeight="12.75"/>
  <cols>
    <col min="1" max="1" width="4.140625" style="35" customWidth="1"/>
    <col min="2" max="2" width="48.140625" style="17" customWidth="1"/>
    <col min="3" max="3" width="9.57421875" style="17" customWidth="1"/>
    <col min="4" max="4" width="11.57421875" style="17" customWidth="1"/>
    <col min="5" max="5" width="11.421875" style="17" customWidth="1"/>
    <col min="6" max="6" width="7.7109375" style="17" hidden="1" customWidth="1"/>
    <col min="7" max="7" width="8.421875" style="17" hidden="1" customWidth="1"/>
    <col min="8" max="8" width="8.00390625" style="17" hidden="1" customWidth="1"/>
    <col min="9" max="9" width="8.28125" style="17" hidden="1" customWidth="1"/>
    <col min="10" max="10" width="8.8515625" style="17" hidden="1" customWidth="1"/>
    <col min="11" max="11" width="7.57421875" style="17" hidden="1" customWidth="1"/>
    <col min="12" max="12" width="7.8515625" style="17" hidden="1" customWidth="1"/>
    <col min="13" max="13" width="7.7109375" style="17" hidden="1" customWidth="1"/>
    <col min="14" max="14" width="6.7109375" style="17" hidden="1" customWidth="1"/>
    <col min="15" max="15" width="8.421875" style="17" hidden="1" customWidth="1"/>
    <col min="16" max="16" width="7.57421875" style="17" hidden="1" customWidth="1"/>
    <col min="17" max="17" width="6.7109375" style="17" hidden="1" customWidth="1"/>
    <col min="18" max="18" width="14.140625" style="17" customWidth="1"/>
    <col min="19" max="19" width="10.28125" style="17" customWidth="1"/>
    <col min="20" max="20" width="3.421875" style="17" hidden="1" customWidth="1"/>
    <col min="21" max="21" width="37.7109375" style="17" hidden="1" customWidth="1"/>
    <col min="22" max="22" width="7.57421875" style="17" hidden="1" customWidth="1"/>
    <col min="23" max="23" width="9.57421875" style="18" hidden="1" customWidth="1"/>
    <col min="24" max="24" width="9.8515625" style="19" hidden="1" customWidth="1"/>
    <col min="25" max="25" width="9.421875" style="20" hidden="1" customWidth="1"/>
    <col min="26" max="26" width="9.28125" style="17" hidden="1" customWidth="1"/>
    <col min="27" max="28" width="8.7109375" style="17" hidden="1" customWidth="1"/>
    <col min="29" max="29" width="7.8515625" style="17" hidden="1" customWidth="1"/>
    <col min="30" max="30" width="8.7109375" style="17" hidden="1" customWidth="1"/>
    <col min="31" max="31" width="8.57421875" style="17" hidden="1" customWidth="1"/>
    <col min="32" max="32" width="7.8515625" style="17" hidden="1" customWidth="1"/>
    <col min="33" max="34" width="8.421875" style="17" hidden="1" customWidth="1"/>
    <col min="35" max="35" width="0" style="17" hidden="1" customWidth="1"/>
    <col min="36" max="36" width="10.7109375" style="17" customWidth="1"/>
    <col min="37" max="16384" width="10.28125" style="17" customWidth="1"/>
  </cols>
  <sheetData>
    <row r="1" spans="1:18" ht="16.5">
      <c r="A1" s="759" t="s">
        <v>354</v>
      </c>
      <c r="B1" s="759"/>
      <c r="C1" s="16"/>
      <c r="D1" s="16"/>
      <c r="E1" s="16"/>
      <c r="F1" s="16"/>
      <c r="G1" s="16"/>
      <c r="H1" s="16"/>
      <c r="I1" s="16"/>
      <c r="J1" s="16"/>
      <c r="K1" s="16"/>
      <c r="L1" s="16"/>
      <c r="M1" s="16"/>
      <c r="N1" s="16"/>
      <c r="O1" s="16"/>
      <c r="P1" s="16"/>
      <c r="Q1" s="16"/>
      <c r="R1" s="16"/>
    </row>
    <row r="2" spans="1:25" s="22" customFormat="1" ht="20.25" customHeight="1">
      <c r="A2" s="760" t="s">
        <v>599</v>
      </c>
      <c r="B2" s="760"/>
      <c r="C2" s="760"/>
      <c r="D2" s="760"/>
      <c r="E2" s="760"/>
      <c r="F2" s="760"/>
      <c r="G2" s="760"/>
      <c r="H2" s="760"/>
      <c r="I2" s="760"/>
      <c r="J2" s="760"/>
      <c r="K2" s="760"/>
      <c r="L2" s="760"/>
      <c r="M2" s="760"/>
      <c r="N2" s="760"/>
      <c r="O2" s="760"/>
      <c r="P2" s="760"/>
      <c r="Q2" s="760"/>
      <c r="R2" s="760"/>
      <c r="S2" s="21"/>
      <c r="W2" s="23"/>
      <c r="X2" s="24"/>
      <c r="Y2" s="25"/>
    </row>
    <row r="3" spans="1:25" s="22" customFormat="1" ht="21" customHeight="1">
      <c r="A3" s="761" t="s">
        <v>755</v>
      </c>
      <c r="B3" s="761"/>
      <c r="C3" s="761"/>
      <c r="D3" s="761"/>
      <c r="E3" s="761"/>
      <c r="F3" s="761"/>
      <c r="G3" s="761"/>
      <c r="H3" s="761"/>
      <c r="I3" s="761"/>
      <c r="J3" s="761"/>
      <c r="K3" s="761"/>
      <c r="L3" s="761"/>
      <c r="M3" s="761"/>
      <c r="N3" s="761"/>
      <c r="O3" s="761"/>
      <c r="P3" s="761"/>
      <c r="Q3" s="761"/>
      <c r="R3" s="761"/>
      <c r="S3" s="21"/>
      <c r="W3" s="23"/>
      <c r="X3" s="24"/>
      <c r="Y3" s="25"/>
    </row>
    <row r="4" spans="1:18" s="28" customFormat="1" ht="18" customHeight="1">
      <c r="A4" s="26"/>
      <c r="B4" s="27"/>
      <c r="C4" s="27"/>
      <c r="D4" s="762"/>
      <c r="E4" s="762"/>
      <c r="F4" s="762"/>
      <c r="G4" s="762"/>
      <c r="H4" s="762"/>
      <c r="I4" s="762"/>
      <c r="J4" s="762"/>
      <c r="K4" s="762"/>
      <c r="L4" s="762"/>
      <c r="M4" s="762"/>
      <c r="N4" s="762"/>
      <c r="O4" s="762"/>
      <c r="P4" s="762"/>
      <c r="Q4" s="762"/>
      <c r="R4" s="762"/>
    </row>
    <row r="5" spans="1:144" s="30" customFormat="1" ht="27.75" customHeight="1">
      <c r="A5" s="763" t="s">
        <v>727</v>
      </c>
      <c r="B5" s="764" t="s">
        <v>179</v>
      </c>
      <c r="C5" s="763" t="s">
        <v>47</v>
      </c>
      <c r="D5" s="763" t="s">
        <v>728</v>
      </c>
      <c r="E5" s="756" t="s">
        <v>729</v>
      </c>
      <c r="F5" s="591"/>
      <c r="G5" s="591"/>
      <c r="H5" s="591"/>
      <c r="I5" s="591"/>
      <c r="J5" s="591"/>
      <c r="K5" s="591"/>
      <c r="L5" s="591"/>
      <c r="M5" s="591"/>
      <c r="N5" s="591"/>
      <c r="O5" s="591"/>
      <c r="P5" s="591"/>
      <c r="Q5" s="592"/>
      <c r="R5" s="593" t="s">
        <v>333</v>
      </c>
      <c r="S5" s="29"/>
      <c r="T5" s="752"/>
      <c r="U5" s="753" t="s">
        <v>52</v>
      </c>
      <c r="V5" s="752" t="s">
        <v>47</v>
      </c>
      <c r="W5" s="754" t="s">
        <v>48</v>
      </c>
      <c r="X5" s="755" t="s">
        <v>53</v>
      </c>
      <c r="Y5" s="749" t="s">
        <v>49</v>
      </c>
      <c r="Z5" s="750" t="s">
        <v>50</v>
      </c>
      <c r="AA5" s="750"/>
      <c r="AB5" s="750"/>
      <c r="AC5" s="750"/>
      <c r="AD5" s="750"/>
      <c r="AE5" s="750"/>
      <c r="AF5" s="750"/>
      <c r="AG5" s="750"/>
      <c r="AH5" s="750"/>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row>
    <row r="6" spans="1:144" s="30" customFormat="1" ht="22.5" customHeight="1">
      <c r="A6" s="763"/>
      <c r="B6" s="764"/>
      <c r="C6" s="763"/>
      <c r="D6" s="763"/>
      <c r="E6" s="757"/>
      <c r="F6" s="751" t="s">
        <v>195</v>
      </c>
      <c r="G6" s="751"/>
      <c r="H6" s="751"/>
      <c r="I6" s="751"/>
      <c r="J6" s="751"/>
      <c r="K6" s="751"/>
      <c r="L6" s="751"/>
      <c r="M6" s="751"/>
      <c r="N6" s="751"/>
      <c r="O6" s="751"/>
      <c r="P6" s="751"/>
      <c r="Q6" s="751"/>
      <c r="R6" s="765" t="s">
        <v>582</v>
      </c>
      <c r="S6" s="29"/>
      <c r="T6" s="752"/>
      <c r="U6" s="753"/>
      <c r="V6" s="752"/>
      <c r="W6" s="754"/>
      <c r="X6" s="755"/>
      <c r="Y6" s="749"/>
      <c r="Z6" s="36"/>
      <c r="AA6" s="36"/>
      <c r="AB6" s="36"/>
      <c r="AC6" s="36"/>
      <c r="AD6" s="36"/>
      <c r="AE6" s="36"/>
      <c r="AF6" s="36"/>
      <c r="AG6" s="36"/>
      <c r="AH6" s="36"/>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row>
    <row r="7" spans="1:144" s="30" customFormat="1" ht="48" customHeight="1">
      <c r="A7" s="763"/>
      <c r="B7" s="764"/>
      <c r="C7" s="763"/>
      <c r="D7" s="763"/>
      <c r="E7" s="758"/>
      <c r="F7" s="594" t="s">
        <v>398</v>
      </c>
      <c r="G7" s="594" t="s">
        <v>448</v>
      </c>
      <c r="H7" s="594" t="s">
        <v>456</v>
      </c>
      <c r="I7" s="594" t="s">
        <v>447</v>
      </c>
      <c r="J7" s="594" t="s">
        <v>446</v>
      </c>
      <c r="K7" s="594" t="s">
        <v>449</v>
      </c>
      <c r="L7" s="594" t="s">
        <v>450</v>
      </c>
      <c r="M7" s="594" t="s">
        <v>451</v>
      </c>
      <c r="N7" s="594" t="s">
        <v>452</v>
      </c>
      <c r="O7" s="594" t="s">
        <v>453</v>
      </c>
      <c r="P7" s="594" t="s">
        <v>454</v>
      </c>
      <c r="Q7" s="594" t="s">
        <v>455</v>
      </c>
      <c r="R7" s="766"/>
      <c r="S7" s="29"/>
      <c r="T7" s="752"/>
      <c r="U7" s="753"/>
      <c r="V7" s="752"/>
      <c r="W7" s="754"/>
      <c r="X7" s="755"/>
      <c r="Y7" s="749"/>
      <c r="Z7" s="31" t="s">
        <v>54</v>
      </c>
      <c r="AA7" s="31" t="s">
        <v>55</v>
      </c>
      <c r="AB7" s="31" t="s">
        <v>56</v>
      </c>
      <c r="AC7" s="31" t="s">
        <v>57</v>
      </c>
      <c r="AD7" s="31" t="s">
        <v>58</v>
      </c>
      <c r="AE7" s="31" t="s">
        <v>59</v>
      </c>
      <c r="AF7" s="31" t="s">
        <v>60</v>
      </c>
      <c r="AG7" s="31" t="s">
        <v>61</v>
      </c>
      <c r="AH7" s="31" t="s">
        <v>62</v>
      </c>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row>
    <row r="8" spans="1:34" s="152" customFormat="1" ht="17.25" customHeight="1">
      <c r="A8" s="595" t="s">
        <v>180</v>
      </c>
      <c r="B8" s="596" t="s">
        <v>63</v>
      </c>
      <c r="C8" s="595" t="s">
        <v>443</v>
      </c>
      <c r="D8" s="597">
        <f>D10+D27+D62+D63</f>
        <v>19598</v>
      </c>
      <c r="E8" s="597">
        <f>E10+E27+E62+E63</f>
        <v>20041</v>
      </c>
      <c r="F8" s="597">
        <f>F10+F27+F62+F63</f>
        <v>2654</v>
      </c>
      <c r="G8" s="597">
        <f aca="true" t="shared" si="0" ref="G8:Q8">G10+G27</f>
        <v>2947</v>
      </c>
      <c r="H8" s="597">
        <f t="shared" si="0"/>
        <v>2600</v>
      </c>
      <c r="I8" s="597">
        <f t="shared" si="0"/>
        <v>1163</v>
      </c>
      <c r="J8" s="597">
        <f t="shared" si="0"/>
        <v>1865</v>
      </c>
      <c r="K8" s="597">
        <f t="shared" si="0"/>
        <v>1928</v>
      </c>
      <c r="L8" s="597">
        <f t="shared" si="0"/>
        <v>1191</v>
      </c>
      <c r="M8" s="597">
        <f t="shared" si="0"/>
        <v>1129</v>
      </c>
      <c r="N8" s="597">
        <f t="shared" si="0"/>
        <v>853</v>
      </c>
      <c r="O8" s="597">
        <f t="shared" si="0"/>
        <v>1413</v>
      </c>
      <c r="P8" s="597">
        <f t="shared" si="0"/>
        <v>1528</v>
      </c>
      <c r="Q8" s="597">
        <f t="shared" si="0"/>
        <v>770</v>
      </c>
      <c r="R8" s="598">
        <f>E8/D8*100</f>
        <v>102.2604347382386</v>
      </c>
      <c r="T8" s="153" t="s">
        <v>180</v>
      </c>
      <c r="U8" s="154" t="s">
        <v>63</v>
      </c>
      <c r="V8" s="153"/>
      <c r="W8" s="241">
        <f>W9+W26</f>
        <v>83277</v>
      </c>
      <c r="X8" s="242">
        <f>X9+X26</f>
        <v>86544</v>
      </c>
      <c r="Y8" s="243">
        <f>SUM(Z8:AH8)</f>
        <v>88614</v>
      </c>
      <c r="Z8" s="244">
        <f aca="true" t="shared" si="1" ref="Z8:AH8">Z9+Z26</f>
        <v>10060</v>
      </c>
      <c r="AA8" s="244">
        <f t="shared" si="1"/>
        <v>17889</v>
      </c>
      <c r="AB8" s="244">
        <f t="shared" si="1"/>
        <v>10210</v>
      </c>
      <c r="AC8" s="244">
        <f t="shared" si="1"/>
        <v>1820</v>
      </c>
      <c r="AD8" s="244">
        <f t="shared" si="1"/>
        <v>10200</v>
      </c>
      <c r="AE8" s="244">
        <f t="shared" si="1"/>
        <v>10015</v>
      </c>
      <c r="AF8" s="244">
        <f t="shared" si="1"/>
        <v>8310</v>
      </c>
      <c r="AG8" s="244">
        <f t="shared" si="1"/>
        <v>13100</v>
      </c>
      <c r="AH8" s="244">
        <f t="shared" si="1"/>
        <v>7010</v>
      </c>
    </row>
    <row r="9" spans="1:34" s="152" customFormat="1" ht="17.25" customHeight="1">
      <c r="A9" s="595">
        <v>1</v>
      </c>
      <c r="B9" s="599" t="s">
        <v>65</v>
      </c>
      <c r="C9" s="595"/>
      <c r="D9" s="600"/>
      <c r="E9" s="601"/>
      <c r="F9" s="601"/>
      <c r="G9" s="601"/>
      <c r="H9" s="601"/>
      <c r="I9" s="601"/>
      <c r="J9" s="601"/>
      <c r="K9" s="601"/>
      <c r="L9" s="601"/>
      <c r="M9" s="601"/>
      <c r="N9" s="601"/>
      <c r="O9" s="601"/>
      <c r="P9" s="601"/>
      <c r="Q9" s="601"/>
      <c r="R9" s="602"/>
      <c r="T9" s="155">
        <v>1</v>
      </c>
      <c r="U9" s="156" t="s">
        <v>65</v>
      </c>
      <c r="V9" s="153" t="s">
        <v>64</v>
      </c>
      <c r="W9" s="157">
        <f>30784+100</f>
        <v>30884</v>
      </c>
      <c r="X9" s="158">
        <f>SUM(X11:X12)</f>
        <v>34671</v>
      </c>
      <c r="Y9" s="243">
        <f>SUM(Z9:AH9)</f>
        <v>35140</v>
      </c>
      <c r="Z9" s="245">
        <f>SUM(Z11:Z12)</f>
        <v>3680</v>
      </c>
      <c r="AA9" s="245">
        <f aca="true" t="shared" si="2" ref="AA9:AH9">SUM(AA11:AA12)</f>
        <v>7255</v>
      </c>
      <c r="AB9" s="245">
        <f t="shared" si="2"/>
        <v>4060</v>
      </c>
      <c r="AC9" s="245">
        <f t="shared" si="2"/>
        <v>870</v>
      </c>
      <c r="AD9" s="245">
        <f t="shared" si="2"/>
        <v>4450</v>
      </c>
      <c r="AE9" s="245">
        <f t="shared" si="2"/>
        <v>3755</v>
      </c>
      <c r="AF9" s="245">
        <f t="shared" si="2"/>
        <v>3060</v>
      </c>
      <c r="AG9" s="245">
        <f t="shared" si="2"/>
        <v>5150</v>
      </c>
      <c r="AH9" s="245">
        <f t="shared" si="2"/>
        <v>2860</v>
      </c>
    </row>
    <row r="10" spans="1:34" s="152" customFormat="1" ht="17.25" customHeight="1">
      <c r="A10" s="595" t="s">
        <v>225</v>
      </c>
      <c r="B10" s="596" t="s">
        <v>322</v>
      </c>
      <c r="C10" s="595" t="s">
        <v>443</v>
      </c>
      <c r="D10" s="603">
        <f>D11+D12</f>
        <v>5818</v>
      </c>
      <c r="E10" s="604">
        <f>E11+E12</f>
        <v>5228</v>
      </c>
      <c r="F10" s="604">
        <f>F11+F12</f>
        <v>383</v>
      </c>
      <c r="G10" s="605">
        <f aca="true" t="shared" si="3" ref="G10:Q10">G11+G12</f>
        <v>977</v>
      </c>
      <c r="H10" s="605">
        <f t="shared" si="3"/>
        <v>655</v>
      </c>
      <c r="I10" s="605">
        <f t="shared" si="3"/>
        <v>351</v>
      </c>
      <c r="J10" s="605">
        <f t="shared" si="3"/>
        <v>558</v>
      </c>
      <c r="K10" s="605">
        <f t="shared" si="3"/>
        <v>530</v>
      </c>
      <c r="L10" s="605">
        <f t="shared" si="3"/>
        <v>339</v>
      </c>
      <c r="M10" s="605">
        <f t="shared" si="3"/>
        <v>275</v>
      </c>
      <c r="N10" s="605">
        <f t="shared" si="3"/>
        <v>254</v>
      </c>
      <c r="O10" s="605">
        <f t="shared" si="3"/>
        <v>289</v>
      </c>
      <c r="P10" s="605">
        <f t="shared" si="3"/>
        <v>394</v>
      </c>
      <c r="Q10" s="605">
        <f t="shared" si="3"/>
        <v>223</v>
      </c>
      <c r="R10" s="598">
        <f aca="true" t="shared" si="4" ref="R10:R73">E10/D10*100</f>
        <v>89.85905809556549</v>
      </c>
      <c r="T10" s="155"/>
      <c r="U10" s="156"/>
      <c r="V10" s="153"/>
      <c r="W10" s="157"/>
      <c r="X10" s="158"/>
      <c r="Y10" s="243"/>
      <c r="Z10" s="245"/>
      <c r="AA10" s="245"/>
      <c r="AB10" s="245"/>
      <c r="AC10" s="245"/>
      <c r="AD10" s="245"/>
      <c r="AE10" s="245"/>
      <c r="AF10" s="245"/>
      <c r="AG10" s="245"/>
      <c r="AH10" s="245"/>
    </row>
    <row r="11" spans="1:34" s="165" customFormat="1" ht="17.25" customHeight="1">
      <c r="A11" s="606"/>
      <c r="B11" s="607" t="s">
        <v>66</v>
      </c>
      <c r="C11" s="606" t="s">
        <v>67</v>
      </c>
      <c r="D11" s="608">
        <v>845</v>
      </c>
      <c r="E11" s="609">
        <f>SUM(F11:Q11)</f>
        <v>702</v>
      </c>
      <c r="F11" s="610">
        <v>105</v>
      </c>
      <c r="G11" s="610">
        <f>112+108</f>
        <v>220</v>
      </c>
      <c r="H11" s="610">
        <v>130</v>
      </c>
      <c r="I11" s="610">
        <v>60</v>
      </c>
      <c r="J11" s="610">
        <f>20+34</f>
        <v>54</v>
      </c>
      <c r="K11" s="610"/>
      <c r="L11" s="610">
        <v>45</v>
      </c>
      <c r="M11" s="610">
        <v>15</v>
      </c>
      <c r="N11" s="610">
        <v>20</v>
      </c>
      <c r="O11" s="610">
        <v>20</v>
      </c>
      <c r="P11" s="610">
        <v>33</v>
      </c>
      <c r="Q11" s="610"/>
      <c r="R11" s="611">
        <f t="shared" si="4"/>
        <v>83.07692307692308</v>
      </c>
      <c r="S11" s="159"/>
      <c r="T11" s="160"/>
      <c r="U11" s="161" t="s">
        <v>66</v>
      </c>
      <c r="V11" s="162" t="s">
        <v>67</v>
      </c>
      <c r="W11" s="163">
        <v>2535</v>
      </c>
      <c r="X11" s="164">
        <v>2951</v>
      </c>
      <c r="Y11" s="246">
        <f>SUM(Z11:AH11)</f>
        <v>3150</v>
      </c>
      <c r="Z11" s="227">
        <v>800</v>
      </c>
      <c r="AA11" s="227">
        <v>950</v>
      </c>
      <c r="AB11" s="247">
        <v>110</v>
      </c>
      <c r="AC11" s="247">
        <v>300</v>
      </c>
      <c r="AD11" s="227">
        <v>350</v>
      </c>
      <c r="AE11" s="160">
        <v>120</v>
      </c>
      <c r="AF11" s="227">
        <v>160</v>
      </c>
      <c r="AG11" s="160">
        <v>200</v>
      </c>
      <c r="AH11" s="227">
        <v>160</v>
      </c>
    </row>
    <row r="12" spans="1:34" s="165" customFormat="1" ht="17.25" customHeight="1">
      <c r="A12" s="606"/>
      <c r="B12" s="607" t="s">
        <v>68</v>
      </c>
      <c r="C12" s="606" t="s">
        <v>443</v>
      </c>
      <c r="D12" s="608">
        <v>4973</v>
      </c>
      <c r="E12" s="609">
        <f>SUM(F12:Q12)</f>
        <v>4526</v>
      </c>
      <c r="F12" s="610">
        <v>278</v>
      </c>
      <c r="G12" s="610">
        <f>414+343</f>
        <v>757</v>
      </c>
      <c r="H12" s="610">
        <v>525</v>
      </c>
      <c r="I12" s="610">
        <v>291</v>
      </c>
      <c r="J12" s="610">
        <f>293+211</f>
        <v>504</v>
      </c>
      <c r="K12" s="610">
        <v>530</v>
      </c>
      <c r="L12" s="610">
        <v>294</v>
      </c>
      <c r="M12" s="610">
        <v>260</v>
      </c>
      <c r="N12" s="610">
        <v>234</v>
      </c>
      <c r="O12" s="610">
        <v>269</v>
      </c>
      <c r="P12" s="610">
        <v>361</v>
      </c>
      <c r="Q12" s="610">
        <v>223</v>
      </c>
      <c r="R12" s="611">
        <f t="shared" si="4"/>
        <v>91.01146189422884</v>
      </c>
      <c r="S12" s="166"/>
      <c r="T12" s="160"/>
      <c r="U12" s="161" t="s">
        <v>68</v>
      </c>
      <c r="V12" s="162" t="s">
        <v>64</v>
      </c>
      <c r="W12" s="163">
        <v>27349</v>
      </c>
      <c r="X12" s="164">
        <v>31720</v>
      </c>
      <c r="Y12" s="246">
        <f>SUM(Z12:AH12)</f>
        <v>31990</v>
      </c>
      <c r="Z12" s="227">
        <v>2880</v>
      </c>
      <c r="AA12" s="227">
        <v>6305</v>
      </c>
      <c r="AB12" s="247">
        <v>3950</v>
      </c>
      <c r="AC12" s="247">
        <v>570</v>
      </c>
      <c r="AD12" s="227">
        <v>4100</v>
      </c>
      <c r="AE12" s="160">
        <v>3635</v>
      </c>
      <c r="AF12" s="227">
        <v>2900</v>
      </c>
      <c r="AG12" s="160">
        <v>4950</v>
      </c>
      <c r="AH12" s="227">
        <v>2700</v>
      </c>
    </row>
    <row r="13" spans="1:34" s="165" customFormat="1" ht="17.25" customHeight="1">
      <c r="A13" s="606"/>
      <c r="B13" s="607" t="s">
        <v>69</v>
      </c>
      <c r="C13" s="606" t="s">
        <v>443</v>
      </c>
      <c r="D13" s="608">
        <v>1709</v>
      </c>
      <c r="E13" s="609">
        <f>SUM(F13:Q13)</f>
        <v>1617</v>
      </c>
      <c r="F13" s="609">
        <v>125</v>
      </c>
      <c r="G13" s="609">
        <f>151+122</f>
        <v>273</v>
      </c>
      <c r="H13" s="609">
        <v>183</v>
      </c>
      <c r="I13" s="609">
        <v>103</v>
      </c>
      <c r="J13" s="609">
        <f>94+74</f>
        <v>168</v>
      </c>
      <c r="K13" s="609">
        <v>183</v>
      </c>
      <c r="L13" s="609">
        <v>112</v>
      </c>
      <c r="M13" s="609">
        <v>88</v>
      </c>
      <c r="N13" s="609">
        <v>81</v>
      </c>
      <c r="O13" s="609">
        <v>89</v>
      </c>
      <c r="P13" s="609">
        <v>130</v>
      </c>
      <c r="Q13" s="609">
        <v>82</v>
      </c>
      <c r="R13" s="611">
        <f t="shared" si="4"/>
        <v>94.61673493270919</v>
      </c>
      <c r="T13" s="160"/>
      <c r="U13" s="161" t="s">
        <v>69</v>
      </c>
      <c r="V13" s="162" t="s">
        <v>70</v>
      </c>
      <c r="W13" s="163">
        <v>11329</v>
      </c>
      <c r="X13" s="164">
        <f>W13+180</f>
        <v>11509</v>
      </c>
      <c r="Y13" s="246">
        <f>SUM(Z13:AH13)</f>
        <v>11842</v>
      </c>
      <c r="Z13" s="227">
        <v>890</v>
      </c>
      <c r="AA13" s="227">
        <v>2020</v>
      </c>
      <c r="AB13" s="247">
        <v>1625</v>
      </c>
      <c r="AC13" s="247">
        <v>179</v>
      </c>
      <c r="AD13" s="227">
        <v>1435</v>
      </c>
      <c r="AE13" s="160">
        <v>1850</v>
      </c>
      <c r="AF13" s="227">
        <v>943</v>
      </c>
      <c r="AG13" s="160">
        <v>1650</v>
      </c>
      <c r="AH13" s="227">
        <v>1250</v>
      </c>
    </row>
    <row r="14" spans="1:34" s="152" customFormat="1" ht="17.25" customHeight="1">
      <c r="A14" s="595" t="s">
        <v>226</v>
      </c>
      <c r="B14" s="596" t="s">
        <v>323</v>
      </c>
      <c r="C14" s="595"/>
      <c r="D14" s="612">
        <f>D15+D16</f>
        <v>229</v>
      </c>
      <c r="E14" s="613">
        <f>E15+E16</f>
        <v>223</v>
      </c>
      <c r="F14" s="614">
        <f>F15+F16</f>
        <v>15</v>
      </c>
      <c r="G14" s="614">
        <f aca="true" t="shared" si="5" ref="G14:Q14">G15+G16</f>
        <v>40</v>
      </c>
      <c r="H14" s="614">
        <f t="shared" si="5"/>
        <v>30</v>
      </c>
      <c r="I14" s="614">
        <f t="shared" si="5"/>
        <v>15</v>
      </c>
      <c r="J14" s="614">
        <f t="shared" si="5"/>
        <v>25</v>
      </c>
      <c r="K14" s="614">
        <f t="shared" si="5"/>
        <v>19</v>
      </c>
      <c r="L14" s="614">
        <f t="shared" si="5"/>
        <v>15</v>
      </c>
      <c r="M14" s="614">
        <f t="shared" si="5"/>
        <v>12</v>
      </c>
      <c r="N14" s="614">
        <f t="shared" si="5"/>
        <v>10</v>
      </c>
      <c r="O14" s="614">
        <f t="shared" si="5"/>
        <v>13</v>
      </c>
      <c r="P14" s="614">
        <f t="shared" si="5"/>
        <v>20</v>
      </c>
      <c r="Q14" s="614">
        <f t="shared" si="5"/>
        <v>9</v>
      </c>
      <c r="R14" s="598">
        <f t="shared" si="4"/>
        <v>97.37991266375546</v>
      </c>
      <c r="T14" s="155"/>
      <c r="U14" s="156"/>
      <c r="V14" s="153"/>
      <c r="W14" s="157"/>
      <c r="X14" s="158"/>
      <c r="Y14" s="243"/>
      <c r="Z14" s="248"/>
      <c r="AA14" s="248"/>
      <c r="AB14" s="249"/>
      <c r="AC14" s="249"/>
      <c r="AD14" s="248"/>
      <c r="AE14" s="155"/>
      <c r="AF14" s="248"/>
      <c r="AG14" s="155"/>
      <c r="AH14" s="248"/>
    </row>
    <row r="15" spans="1:34" s="165" customFormat="1" ht="17.25" customHeight="1">
      <c r="A15" s="606"/>
      <c r="B15" s="607" t="s">
        <v>324</v>
      </c>
      <c r="C15" s="606" t="s">
        <v>327</v>
      </c>
      <c r="D15" s="615">
        <v>39</v>
      </c>
      <c r="E15" s="616">
        <f>SUM(F15:Q15)</f>
        <v>37</v>
      </c>
      <c r="F15" s="609">
        <v>5</v>
      </c>
      <c r="G15" s="609">
        <v>11</v>
      </c>
      <c r="H15" s="609">
        <v>7</v>
      </c>
      <c r="I15" s="609">
        <v>3</v>
      </c>
      <c r="J15" s="609">
        <v>3</v>
      </c>
      <c r="K15" s="609"/>
      <c r="L15" s="609">
        <v>3</v>
      </c>
      <c r="M15" s="609">
        <v>1</v>
      </c>
      <c r="N15" s="609">
        <v>1</v>
      </c>
      <c r="O15" s="609">
        <v>1</v>
      </c>
      <c r="P15" s="609">
        <v>2</v>
      </c>
      <c r="Q15" s="609"/>
      <c r="R15" s="611">
        <f t="shared" si="4"/>
        <v>94.87179487179486</v>
      </c>
      <c r="T15" s="160"/>
      <c r="U15" s="161"/>
      <c r="V15" s="162"/>
      <c r="W15" s="163"/>
      <c r="X15" s="164"/>
      <c r="Y15" s="246"/>
      <c r="Z15" s="227"/>
      <c r="AA15" s="227"/>
      <c r="AB15" s="247"/>
      <c r="AC15" s="247"/>
      <c r="AD15" s="227"/>
      <c r="AE15" s="160"/>
      <c r="AF15" s="227"/>
      <c r="AG15" s="160"/>
      <c r="AH15" s="227"/>
    </row>
    <row r="16" spans="1:34" s="165" customFormat="1" ht="17.25" customHeight="1">
      <c r="A16" s="606"/>
      <c r="B16" s="607" t="s">
        <v>325</v>
      </c>
      <c r="C16" s="606" t="s">
        <v>275</v>
      </c>
      <c r="D16" s="615">
        <v>190</v>
      </c>
      <c r="E16" s="616">
        <f>SUM(F16:Q16)</f>
        <v>186</v>
      </c>
      <c r="F16" s="609">
        <v>10</v>
      </c>
      <c r="G16" s="609">
        <v>29</v>
      </c>
      <c r="H16" s="609">
        <v>23</v>
      </c>
      <c r="I16" s="609">
        <v>12</v>
      </c>
      <c r="J16" s="609">
        <v>22</v>
      </c>
      <c r="K16" s="609">
        <v>19</v>
      </c>
      <c r="L16" s="609">
        <v>12</v>
      </c>
      <c r="M16" s="609">
        <v>11</v>
      </c>
      <c r="N16" s="609">
        <v>9</v>
      </c>
      <c r="O16" s="609">
        <v>12</v>
      </c>
      <c r="P16" s="609">
        <v>18</v>
      </c>
      <c r="Q16" s="609">
        <v>9</v>
      </c>
      <c r="R16" s="611">
        <f t="shared" si="4"/>
        <v>97.89473684210527</v>
      </c>
      <c r="T16" s="160"/>
      <c r="U16" s="161"/>
      <c r="V16" s="162"/>
      <c r="W16" s="163"/>
      <c r="X16" s="164"/>
      <c r="Y16" s="246"/>
      <c r="Z16" s="227"/>
      <c r="AA16" s="227"/>
      <c r="AB16" s="247"/>
      <c r="AC16" s="247"/>
      <c r="AD16" s="227"/>
      <c r="AE16" s="160"/>
      <c r="AF16" s="227"/>
      <c r="AG16" s="160"/>
      <c r="AH16" s="227"/>
    </row>
    <row r="17" spans="1:34" s="165" customFormat="1" ht="17.25" customHeight="1">
      <c r="A17" s="606"/>
      <c r="B17" s="607" t="s">
        <v>326</v>
      </c>
      <c r="C17" s="606" t="s">
        <v>275</v>
      </c>
      <c r="D17" s="615">
        <v>111</v>
      </c>
      <c r="E17" s="616">
        <f>SUM(F17:Q17)</f>
        <v>107</v>
      </c>
      <c r="F17" s="609">
        <v>4</v>
      </c>
      <c r="G17" s="609">
        <v>18</v>
      </c>
      <c r="H17" s="609">
        <v>8</v>
      </c>
      <c r="I17" s="609">
        <v>7</v>
      </c>
      <c r="J17" s="609">
        <v>10</v>
      </c>
      <c r="K17" s="609">
        <v>10</v>
      </c>
      <c r="L17" s="609">
        <v>9</v>
      </c>
      <c r="M17" s="609">
        <v>7</v>
      </c>
      <c r="N17" s="609">
        <v>5</v>
      </c>
      <c r="O17" s="609">
        <v>8</v>
      </c>
      <c r="P17" s="609">
        <v>14</v>
      </c>
      <c r="Q17" s="609">
        <v>7</v>
      </c>
      <c r="R17" s="617">
        <f t="shared" si="4"/>
        <v>96.3963963963964</v>
      </c>
      <c r="T17" s="160"/>
      <c r="U17" s="161"/>
      <c r="V17" s="162"/>
      <c r="W17" s="163"/>
      <c r="X17" s="164"/>
      <c r="Y17" s="246"/>
      <c r="Z17" s="227"/>
      <c r="AA17" s="227"/>
      <c r="AB17" s="247"/>
      <c r="AC17" s="247"/>
      <c r="AD17" s="227"/>
      <c r="AE17" s="160"/>
      <c r="AF17" s="227"/>
      <c r="AG17" s="160"/>
      <c r="AH17" s="227"/>
    </row>
    <row r="18" spans="1:34" s="152" customFormat="1" ht="17.25" customHeight="1">
      <c r="A18" s="595" t="s">
        <v>328</v>
      </c>
      <c r="B18" s="596" t="s">
        <v>329</v>
      </c>
      <c r="C18" s="595"/>
      <c r="D18" s="600"/>
      <c r="E18" s="618"/>
      <c r="F18" s="618"/>
      <c r="G18" s="601"/>
      <c r="H18" s="601"/>
      <c r="I18" s="601"/>
      <c r="J18" s="601"/>
      <c r="K18" s="601"/>
      <c r="L18" s="601"/>
      <c r="M18" s="601"/>
      <c r="N18" s="601"/>
      <c r="O18" s="601"/>
      <c r="P18" s="601"/>
      <c r="Q18" s="601"/>
      <c r="R18" s="602"/>
      <c r="T18" s="155"/>
      <c r="U18" s="156"/>
      <c r="V18" s="153"/>
      <c r="W18" s="157"/>
      <c r="X18" s="158"/>
      <c r="Y18" s="243"/>
      <c r="Z18" s="248"/>
      <c r="AA18" s="248"/>
      <c r="AB18" s="249"/>
      <c r="AC18" s="249"/>
      <c r="AD18" s="248"/>
      <c r="AE18" s="155"/>
      <c r="AF18" s="248"/>
      <c r="AG18" s="155"/>
      <c r="AH18" s="248"/>
    </row>
    <row r="19" spans="1:34" s="165" customFormat="1" ht="17.25" customHeight="1">
      <c r="A19" s="606"/>
      <c r="B19" s="607" t="s">
        <v>71</v>
      </c>
      <c r="C19" s="606" t="s">
        <v>13</v>
      </c>
      <c r="D19" s="615">
        <v>67.3</v>
      </c>
      <c r="E19" s="619">
        <f>0.673313782991202*100</f>
        <v>67.33137829912023</v>
      </c>
      <c r="F19" s="620">
        <f>0.750617283950617*100</f>
        <v>75.06172839506173</v>
      </c>
      <c r="G19" s="609">
        <f>0.700353356890459*100</f>
        <v>70.03533568904594</v>
      </c>
      <c r="H19" s="620">
        <f>0.645045045045045*100</f>
        <v>64.5045045045045</v>
      </c>
      <c r="I19" s="620">
        <f>0.697674418604651*100</f>
        <v>69.76744186046511</v>
      </c>
      <c r="J19" s="620">
        <f>0.688235294117647*100</f>
        <v>68.82352941176471</v>
      </c>
      <c r="K19" s="609">
        <f>0.61044912923923*100</f>
        <v>61.044912923923015</v>
      </c>
      <c r="L19" s="620">
        <f>0.66427289048474*100</f>
        <v>66.42728904847397</v>
      </c>
      <c r="M19" s="620">
        <f>0.733471074380165*100</f>
        <v>73.34710743801654</v>
      </c>
      <c r="N19" s="620">
        <f>0.676328502415459*100</f>
        <v>67.6328502415459</v>
      </c>
      <c r="O19" s="620">
        <f>0.660988074957411*100</f>
        <v>66.09880749574106</v>
      </c>
      <c r="P19" s="620">
        <f>0.632267441860465*100</f>
        <v>63.22674418604651</v>
      </c>
      <c r="Q19" s="620">
        <f>0.712328767123288*100</f>
        <v>71.23287671232876</v>
      </c>
      <c r="R19" s="621"/>
      <c r="T19" s="160"/>
      <c r="U19" s="161" t="s">
        <v>71</v>
      </c>
      <c r="V19" s="162" t="s">
        <v>13</v>
      </c>
      <c r="W19" s="250">
        <v>43.1</v>
      </c>
      <c r="X19" s="251">
        <v>44.97</v>
      </c>
      <c r="Y19" s="252">
        <f>Y9/78244*100</f>
        <v>44.910791881805636</v>
      </c>
      <c r="Z19" s="253">
        <v>72.4694761717211</v>
      </c>
      <c r="AA19" s="253">
        <v>55.474843248203086</v>
      </c>
      <c r="AB19" s="253">
        <v>38.200978547233724</v>
      </c>
      <c r="AC19" s="253">
        <v>66.92307692307692</v>
      </c>
      <c r="AD19" s="253">
        <v>44.38460003989627</v>
      </c>
      <c r="AE19" s="253">
        <v>30.963964706852476</v>
      </c>
      <c r="AF19" s="253">
        <v>49.14083828488839</v>
      </c>
      <c r="AG19" s="253">
        <v>46.13455164382334</v>
      </c>
      <c r="AH19" s="253">
        <v>33.19020540791458</v>
      </c>
    </row>
    <row r="20" spans="1:34" s="165" customFormat="1" ht="17.25" customHeight="1">
      <c r="A20" s="606"/>
      <c r="B20" s="607" t="s">
        <v>72</v>
      </c>
      <c r="C20" s="606" t="s">
        <v>13</v>
      </c>
      <c r="D20" s="622">
        <v>46.9</v>
      </c>
      <c r="E20" s="619">
        <f>2731/E10*100</f>
        <v>52.237949502677886</v>
      </c>
      <c r="F20" s="620">
        <f>190/F10*100</f>
        <v>49.60835509138381</v>
      </c>
      <c r="G20" s="620">
        <f>438/G10*100</f>
        <v>44.83111566018424</v>
      </c>
      <c r="H20" s="620">
        <f>340/H10*100</f>
        <v>51.908396946564885</v>
      </c>
      <c r="I20" s="620">
        <f>189/I10*100</f>
        <v>53.84615384615385</v>
      </c>
      <c r="J20" s="620">
        <f>281/J10*100</f>
        <v>50.358422939068106</v>
      </c>
      <c r="K20" s="609">
        <f>302/K10*100</f>
        <v>56.9811320754717</v>
      </c>
      <c r="L20" s="620">
        <f>182/L10*100</f>
        <v>53.687315634218294</v>
      </c>
      <c r="M20" s="620">
        <f>173/M10*100</f>
        <v>62.909090909090914</v>
      </c>
      <c r="N20" s="620">
        <f>124/N10*100</f>
        <v>48.818897637795274</v>
      </c>
      <c r="O20" s="620">
        <f>193/O10*100</f>
        <v>66.78200692041523</v>
      </c>
      <c r="P20" s="620">
        <f>223/P10*100</f>
        <v>56.598984771573605</v>
      </c>
      <c r="Q20" s="620">
        <f>96/Q10*100</f>
        <v>43.04932735426009</v>
      </c>
      <c r="R20" s="617">
        <f>E20-D20</f>
        <v>5.337949502677887</v>
      </c>
      <c r="T20" s="160"/>
      <c r="U20" s="161" t="s">
        <v>72</v>
      </c>
      <c r="V20" s="162" t="s">
        <v>13</v>
      </c>
      <c r="W20" s="250">
        <v>48.3</v>
      </c>
      <c r="X20" s="251">
        <v>48.7</v>
      </c>
      <c r="Y20" s="252">
        <v>48.9</v>
      </c>
      <c r="Z20" s="253">
        <v>46.6</v>
      </c>
      <c r="AA20" s="253">
        <v>50.2</v>
      </c>
      <c r="AB20" s="253">
        <v>49.4</v>
      </c>
      <c r="AC20" s="253">
        <v>50.2</v>
      </c>
      <c r="AD20" s="253">
        <v>47.9</v>
      </c>
      <c r="AE20" s="253">
        <v>49.9</v>
      </c>
      <c r="AF20" s="253">
        <v>47.4</v>
      </c>
      <c r="AG20" s="253">
        <v>48.7</v>
      </c>
      <c r="AH20" s="253">
        <v>49.8</v>
      </c>
    </row>
    <row r="21" spans="1:34" s="165" customFormat="1" ht="17.25" customHeight="1">
      <c r="A21" s="606"/>
      <c r="B21" s="607" t="s">
        <v>73</v>
      </c>
      <c r="C21" s="606" t="s">
        <v>13</v>
      </c>
      <c r="D21" s="615">
        <v>7.9</v>
      </c>
      <c r="E21" s="623">
        <f>460/E10%</f>
        <v>8.798775822494262</v>
      </c>
      <c r="F21" s="624">
        <f>(31/F10)*100</f>
        <v>8.093994778067886</v>
      </c>
      <c r="G21" s="620">
        <f>(75/G10)*100</f>
        <v>7.6765609007164795</v>
      </c>
      <c r="H21" s="620">
        <f>(60/H10)*100</f>
        <v>9.16030534351145</v>
      </c>
      <c r="I21" s="620">
        <f>(31/I10)*100</f>
        <v>8.831908831908832</v>
      </c>
      <c r="J21" s="620">
        <f>45/J10%</f>
        <v>8.064516129032258</v>
      </c>
      <c r="K21" s="620">
        <f>(51/K10)*100</f>
        <v>9.622641509433963</v>
      </c>
      <c r="L21" s="620">
        <f>(29/L10)*100</f>
        <v>8.55457227138643</v>
      </c>
      <c r="M21" s="620">
        <f>(28/M10)*100</f>
        <v>10.181818181818182</v>
      </c>
      <c r="N21" s="620">
        <f>(23/N10)*100</f>
        <v>9.05511811023622</v>
      </c>
      <c r="O21" s="620">
        <f>(30/O10)*100</f>
        <v>10.380622837370241</v>
      </c>
      <c r="P21" s="620">
        <f>(36/P10)*100</f>
        <v>9.137055837563452</v>
      </c>
      <c r="Q21" s="620">
        <f>(21/Q10)*100</f>
        <v>9.417040358744394</v>
      </c>
      <c r="R21" s="617">
        <f>E21-D21</f>
        <v>0.8987758224942617</v>
      </c>
      <c r="T21" s="167"/>
      <c r="U21" s="168" t="s">
        <v>73</v>
      </c>
      <c r="V21" s="169" t="s">
        <v>13</v>
      </c>
      <c r="W21" s="250">
        <v>5.8</v>
      </c>
      <c r="X21" s="251">
        <v>5.5</v>
      </c>
      <c r="Y21" s="252">
        <v>5.2</v>
      </c>
      <c r="Z21" s="254">
        <v>4.1</v>
      </c>
      <c r="AA21" s="255">
        <v>5.1</v>
      </c>
      <c r="AB21" s="256">
        <v>6.1</v>
      </c>
      <c r="AC21" s="256">
        <v>4.1</v>
      </c>
      <c r="AD21" s="255">
        <v>5.7</v>
      </c>
      <c r="AE21" s="167">
        <v>6.4</v>
      </c>
      <c r="AF21" s="255">
        <v>5.3</v>
      </c>
      <c r="AG21" s="167">
        <v>5.4</v>
      </c>
      <c r="AH21" s="255">
        <v>6.2</v>
      </c>
    </row>
    <row r="22" spans="1:34" s="165" customFormat="1" ht="17.25" customHeight="1">
      <c r="A22" s="606"/>
      <c r="B22" s="607" t="s">
        <v>74</v>
      </c>
      <c r="C22" s="606" t="s">
        <v>13</v>
      </c>
      <c r="D22" s="615">
        <v>8.5</v>
      </c>
      <c r="E22" s="623">
        <f>497/E10%</f>
        <v>9.506503442999234</v>
      </c>
      <c r="F22" s="624">
        <f>(33/F10)*100</f>
        <v>8.616187989556137</v>
      </c>
      <c r="G22" s="620">
        <f>(80/G10)*100</f>
        <v>8.188331627430912</v>
      </c>
      <c r="H22" s="620">
        <f>(63/H10)*100</f>
        <v>9.618320610687023</v>
      </c>
      <c r="I22" s="620">
        <f>(34/I10)*100</f>
        <v>9.686609686609685</v>
      </c>
      <c r="J22" s="620">
        <v>8.6</v>
      </c>
      <c r="K22" s="620">
        <f>(55/K10)*100</f>
        <v>10.377358490566039</v>
      </c>
      <c r="L22" s="620">
        <f>(31/L10)*100</f>
        <v>9.144542772861357</v>
      </c>
      <c r="M22" s="620">
        <f>(31/M10)*100</f>
        <v>11.272727272727273</v>
      </c>
      <c r="N22" s="620">
        <f>(25/N10)*100</f>
        <v>9.84251968503937</v>
      </c>
      <c r="O22" s="620">
        <f>(32/O10)*100</f>
        <v>11.072664359861593</v>
      </c>
      <c r="P22" s="625">
        <f>(39/P10)*100</f>
        <v>9.898477157360407</v>
      </c>
      <c r="Q22" s="620">
        <f>(22/Q10)*100</f>
        <v>9.865470852017937</v>
      </c>
      <c r="R22" s="626">
        <f>E22-D22</f>
        <v>1.006503442999234</v>
      </c>
      <c r="T22" s="167"/>
      <c r="U22" s="168" t="s">
        <v>74</v>
      </c>
      <c r="V22" s="169" t="s">
        <v>13</v>
      </c>
      <c r="W22" s="250">
        <v>6.2</v>
      </c>
      <c r="X22" s="251">
        <v>6</v>
      </c>
      <c r="Y22" s="252">
        <v>5.8</v>
      </c>
      <c r="Z22" s="254">
        <v>4.5</v>
      </c>
      <c r="AA22" s="255">
        <v>5.5</v>
      </c>
      <c r="AB22" s="256">
        <v>6.5</v>
      </c>
      <c r="AC22" s="256">
        <v>4.4</v>
      </c>
      <c r="AD22" s="255">
        <v>6.4</v>
      </c>
      <c r="AE22" s="167">
        <v>6.9</v>
      </c>
      <c r="AF22" s="255">
        <v>5.8</v>
      </c>
      <c r="AG22" s="167">
        <v>6.1</v>
      </c>
      <c r="AH22" s="255">
        <v>6.8</v>
      </c>
    </row>
    <row r="23" spans="1:36" s="165" customFormat="1" ht="39" customHeight="1">
      <c r="A23" s="606"/>
      <c r="B23" s="607" t="s">
        <v>457</v>
      </c>
      <c r="C23" s="606" t="s">
        <v>13</v>
      </c>
      <c r="D23" s="627">
        <v>23</v>
      </c>
      <c r="E23" s="619">
        <f>702/3928%</f>
        <v>17.871690427698574</v>
      </c>
      <c r="F23" s="620">
        <f>105/188%</f>
        <v>55.851063829787236</v>
      </c>
      <c r="G23" s="620">
        <f>220/609%</f>
        <v>36.1247947454844</v>
      </c>
      <c r="H23" s="620">
        <f>130/535%</f>
        <v>24.299065420560748</v>
      </c>
      <c r="I23" s="620">
        <f>60/226%</f>
        <v>26.548672566371685</v>
      </c>
      <c r="J23" s="620">
        <f>54/357%</f>
        <v>15.126050420168069</v>
      </c>
      <c r="K23" s="620"/>
      <c r="L23" s="620">
        <f>45/289%</f>
        <v>15.570934256055363</v>
      </c>
      <c r="M23" s="620">
        <f>15/243%</f>
        <v>6.172839506172839</v>
      </c>
      <c r="N23" s="620">
        <f>20/225%</f>
        <v>8.88888888888889</v>
      </c>
      <c r="O23" s="620">
        <f>20/260%</f>
        <v>7.692307692307692</v>
      </c>
      <c r="P23" s="620">
        <f>33/307%</f>
        <v>10.749185667752444</v>
      </c>
      <c r="Q23" s="620"/>
      <c r="R23" s="619">
        <f>E23-D23</f>
        <v>-5.128309572301426</v>
      </c>
      <c r="T23" s="160"/>
      <c r="U23" s="161" t="s">
        <v>75</v>
      </c>
      <c r="V23" s="162" t="s">
        <v>13</v>
      </c>
      <c r="W23" s="250">
        <v>8.5</v>
      </c>
      <c r="X23" s="251">
        <v>8.6</v>
      </c>
      <c r="Y23" s="252">
        <v>9.1</v>
      </c>
      <c r="Z23" s="253">
        <v>30.450506065023603</v>
      </c>
      <c r="AA23" s="253">
        <v>14.176611347974358</v>
      </c>
      <c r="AB23" s="253">
        <v>1.9830812941514846</v>
      </c>
      <c r="AC23" s="253">
        <v>43.48915360882359</v>
      </c>
      <c r="AD23" s="253">
        <v>6.647784465758712</v>
      </c>
      <c r="AE23" s="253">
        <v>1.969772023720938</v>
      </c>
      <c r="AF23" s="253">
        <v>4.951912277673531</v>
      </c>
      <c r="AG23" s="253">
        <v>3.499127301859369</v>
      </c>
      <c r="AH23" s="253">
        <v>3.63722441367727</v>
      </c>
      <c r="AJ23" s="377"/>
    </row>
    <row r="24" spans="1:34" s="165" customFormat="1" ht="17.25" customHeight="1">
      <c r="A24" s="606"/>
      <c r="B24" s="628" t="s">
        <v>458</v>
      </c>
      <c r="C24" s="606" t="s">
        <v>13</v>
      </c>
      <c r="D24" s="615">
        <v>99.2</v>
      </c>
      <c r="E24" s="619">
        <v>99.9</v>
      </c>
      <c r="F24" s="609">
        <f>240/240%</f>
        <v>100</v>
      </c>
      <c r="G24" s="620">
        <f>+(287+262+234)/(289+262+234)*100</f>
        <v>99.7452229299363</v>
      </c>
      <c r="H24" s="620">
        <f>618/621%</f>
        <v>99.51690821256038</v>
      </c>
      <c r="I24" s="620">
        <f>327/329%</f>
        <v>99.3920972644377</v>
      </c>
      <c r="J24" s="620">
        <f>+(307+226)/(308+227)*100</f>
        <v>99.62616822429906</v>
      </c>
      <c r="K24" s="629">
        <f>615/625%</f>
        <v>98.4</v>
      </c>
      <c r="L24" s="609">
        <f>306/306%</f>
        <v>100</v>
      </c>
      <c r="M24" s="609">
        <f>303/303%</f>
        <v>100</v>
      </c>
      <c r="N24" s="609">
        <f>232/232%</f>
        <v>100</v>
      </c>
      <c r="O24" s="620">
        <f>354/357%</f>
        <v>99.15966386554622</v>
      </c>
      <c r="P24" s="620">
        <f>389/403%</f>
        <v>96.52605459057071</v>
      </c>
      <c r="Q24" s="620">
        <f>219/222%</f>
        <v>98.64864864864865</v>
      </c>
      <c r="R24" s="617">
        <f>E24-D24</f>
        <v>0.7000000000000028</v>
      </c>
      <c r="S24" s="170"/>
      <c r="T24" s="160"/>
      <c r="U24" s="257" t="s">
        <v>76</v>
      </c>
      <c r="V24" s="162" t="s">
        <v>13</v>
      </c>
      <c r="W24" s="250">
        <v>82.2</v>
      </c>
      <c r="X24" s="251">
        <v>80.8</v>
      </c>
      <c r="Y24" s="252">
        <v>84.5</v>
      </c>
      <c r="Z24" s="253">
        <v>99.1</v>
      </c>
      <c r="AA24" s="253">
        <v>98.86734433962977</v>
      </c>
      <c r="AB24" s="253">
        <v>77.73375912570897</v>
      </c>
      <c r="AC24" s="253">
        <v>93.5802751148903</v>
      </c>
      <c r="AD24" s="253">
        <v>86.10380053272002</v>
      </c>
      <c r="AE24" s="253">
        <v>60.22735352683257</v>
      </c>
      <c r="AF24" s="253">
        <v>96.78796701231303</v>
      </c>
      <c r="AG24" s="253">
        <v>90.87023493668164</v>
      </c>
      <c r="AH24" s="253">
        <v>64.00168182690193</v>
      </c>
    </row>
    <row r="25" spans="1:34" s="165" customFormat="1" ht="17.25" customHeight="1">
      <c r="A25" s="606"/>
      <c r="B25" s="628" t="s">
        <v>620</v>
      </c>
      <c r="C25" s="606" t="s">
        <v>13</v>
      </c>
      <c r="D25" s="615">
        <v>99.9</v>
      </c>
      <c r="E25" s="619">
        <f>0.998822836962919*100</f>
        <v>99.88228369629194</v>
      </c>
      <c r="F25" s="609">
        <f>75/75%</f>
        <v>100</v>
      </c>
      <c r="G25" s="609">
        <f>+(84+83+87)/(84+83+87)*100</f>
        <v>100</v>
      </c>
      <c r="H25" s="620">
        <f>212/214%</f>
        <v>99.06542056074765</v>
      </c>
      <c r="I25" s="609">
        <f>127/127%</f>
        <v>100</v>
      </c>
      <c r="J25" s="609">
        <f>+(106+81)/(106+81)*100</f>
        <v>100</v>
      </c>
      <c r="K25" s="609">
        <f>219/219%</f>
        <v>100</v>
      </c>
      <c r="L25" s="609">
        <f>107/107%</f>
        <v>100</v>
      </c>
      <c r="M25" s="609">
        <f>1*100</f>
        <v>100</v>
      </c>
      <c r="N25" s="609">
        <f>76/76%</f>
        <v>100</v>
      </c>
      <c r="O25" s="609">
        <f>125/125%</f>
        <v>100</v>
      </c>
      <c r="P25" s="609">
        <f>138/138%</f>
        <v>100.00000000000001</v>
      </c>
      <c r="Q25" s="609">
        <f>61/61%</f>
        <v>100</v>
      </c>
      <c r="R25" s="617"/>
      <c r="S25" s="166"/>
      <c r="T25" s="160"/>
      <c r="U25" s="257" t="s">
        <v>77</v>
      </c>
      <c r="V25" s="162" t="s">
        <v>13</v>
      </c>
      <c r="W25" s="250">
        <v>95</v>
      </c>
      <c r="X25" s="251">
        <v>95.8</v>
      </c>
      <c r="Y25" s="252">
        <v>96.8</v>
      </c>
      <c r="Z25" s="253">
        <v>100</v>
      </c>
      <c r="AA25" s="253">
        <v>99.01960784313727</v>
      </c>
      <c r="AB25" s="253">
        <v>98.78419452887537</v>
      </c>
      <c r="AC25" s="253">
        <v>99.44444444444444</v>
      </c>
      <c r="AD25" s="253">
        <v>92.05057949352052</v>
      </c>
      <c r="AE25" s="253">
        <v>89.30389117412443</v>
      </c>
      <c r="AF25" s="253">
        <v>99.7883597883598</v>
      </c>
      <c r="AG25" s="253">
        <v>98.36702931895786</v>
      </c>
      <c r="AH25" s="253">
        <v>92.93278473176775</v>
      </c>
    </row>
    <row r="26" spans="1:34" s="260" customFormat="1" ht="17.25" customHeight="1">
      <c r="A26" s="595">
        <v>2</v>
      </c>
      <c r="B26" s="599" t="s">
        <v>78</v>
      </c>
      <c r="C26" s="595"/>
      <c r="D26" s="600"/>
      <c r="E26" s="618"/>
      <c r="F26" s="618"/>
      <c r="G26" s="601"/>
      <c r="H26" s="601"/>
      <c r="I26" s="601"/>
      <c r="J26" s="601"/>
      <c r="K26" s="601"/>
      <c r="L26" s="601"/>
      <c r="M26" s="601"/>
      <c r="N26" s="601"/>
      <c r="O26" s="601"/>
      <c r="P26" s="601"/>
      <c r="Q26" s="601"/>
      <c r="R26" s="602"/>
      <c r="S26" s="171"/>
      <c r="T26" s="153">
        <v>2</v>
      </c>
      <c r="U26" s="156" t="s">
        <v>78</v>
      </c>
      <c r="V26" s="153" t="s">
        <v>64</v>
      </c>
      <c r="W26" s="258">
        <f>W35+W43+W51</f>
        <v>52393</v>
      </c>
      <c r="X26" s="259">
        <f>X35+X43+X51</f>
        <v>51873</v>
      </c>
      <c r="Y26" s="243">
        <f>SUM(Z26:AH26)</f>
        <v>53474</v>
      </c>
      <c r="Z26" s="248">
        <f aca="true" t="shared" si="6" ref="Z26:AH26">Z35+Z43+Z51</f>
        <v>6380</v>
      </c>
      <c r="AA26" s="248">
        <f t="shared" si="6"/>
        <v>10634</v>
      </c>
      <c r="AB26" s="248">
        <f t="shared" si="6"/>
        <v>6150</v>
      </c>
      <c r="AC26" s="248">
        <f t="shared" si="6"/>
        <v>950</v>
      </c>
      <c r="AD26" s="248">
        <f t="shared" si="6"/>
        <v>5750</v>
      </c>
      <c r="AE26" s="248">
        <f t="shared" si="6"/>
        <v>6260</v>
      </c>
      <c r="AF26" s="248">
        <f t="shared" si="6"/>
        <v>5250</v>
      </c>
      <c r="AG26" s="248">
        <f t="shared" si="6"/>
        <v>7950</v>
      </c>
      <c r="AH26" s="248">
        <f t="shared" si="6"/>
        <v>4150</v>
      </c>
    </row>
    <row r="27" spans="1:34" s="260" customFormat="1" ht="17.25" customHeight="1">
      <c r="A27" s="595" t="s">
        <v>330</v>
      </c>
      <c r="B27" s="596" t="s">
        <v>331</v>
      </c>
      <c r="C27" s="595" t="s">
        <v>443</v>
      </c>
      <c r="D27" s="618">
        <f>D35+D43+D51</f>
        <v>13719</v>
      </c>
      <c r="E27" s="618">
        <f>E35+E43+E51</f>
        <v>14638</v>
      </c>
      <c r="F27" s="618">
        <f>F35+F43+F51</f>
        <v>2096</v>
      </c>
      <c r="G27" s="618">
        <f aca="true" t="shared" si="7" ref="G27:Q27">G35+G43+G51</f>
        <v>1970</v>
      </c>
      <c r="H27" s="618">
        <f t="shared" si="7"/>
        <v>1945</v>
      </c>
      <c r="I27" s="618">
        <f t="shared" si="7"/>
        <v>812</v>
      </c>
      <c r="J27" s="618">
        <f t="shared" si="7"/>
        <v>1307</v>
      </c>
      <c r="K27" s="618">
        <f t="shared" si="7"/>
        <v>1398</v>
      </c>
      <c r="L27" s="618">
        <f t="shared" si="7"/>
        <v>852</v>
      </c>
      <c r="M27" s="618">
        <f t="shared" si="7"/>
        <v>854</v>
      </c>
      <c r="N27" s="618">
        <f t="shared" si="7"/>
        <v>599</v>
      </c>
      <c r="O27" s="618">
        <f t="shared" si="7"/>
        <v>1124</v>
      </c>
      <c r="P27" s="618">
        <f t="shared" si="7"/>
        <v>1134</v>
      </c>
      <c r="Q27" s="618">
        <f t="shared" si="7"/>
        <v>547</v>
      </c>
      <c r="R27" s="602">
        <f t="shared" si="4"/>
        <v>106.69873897514397</v>
      </c>
      <c r="S27" s="171"/>
      <c r="T27" s="153"/>
      <c r="U27" s="156"/>
      <c r="V27" s="153"/>
      <c r="W27" s="258"/>
      <c r="X27" s="259"/>
      <c r="Y27" s="243"/>
      <c r="Z27" s="248"/>
      <c r="AA27" s="248"/>
      <c r="AB27" s="248"/>
      <c r="AC27" s="248"/>
      <c r="AD27" s="248"/>
      <c r="AE27" s="248"/>
      <c r="AF27" s="248"/>
      <c r="AG27" s="248"/>
      <c r="AH27" s="248"/>
    </row>
    <row r="28" spans="1:34" s="261" customFormat="1" ht="17.25" customHeight="1">
      <c r="A28" s="606"/>
      <c r="B28" s="607" t="s">
        <v>79</v>
      </c>
      <c r="C28" s="606" t="s">
        <v>443</v>
      </c>
      <c r="D28" s="630">
        <f aca="true" t="shared" si="8" ref="D28:Q29">D36+D44+D53</f>
        <v>7137</v>
      </c>
      <c r="E28" s="631">
        <f>SUM(F28:Q28)</f>
        <v>7360.75</v>
      </c>
      <c r="F28" s="632"/>
      <c r="G28" s="632">
        <f t="shared" si="8"/>
        <v>1178</v>
      </c>
      <c r="H28" s="632">
        <f t="shared" si="8"/>
        <v>847</v>
      </c>
      <c r="I28" s="608">
        <f t="shared" si="8"/>
        <v>376</v>
      </c>
      <c r="J28" s="608">
        <f t="shared" si="8"/>
        <v>761</v>
      </c>
      <c r="K28" s="608">
        <f t="shared" si="8"/>
        <v>934</v>
      </c>
      <c r="L28" s="608">
        <f t="shared" si="8"/>
        <v>636</v>
      </c>
      <c r="M28" s="608">
        <f t="shared" si="8"/>
        <v>419</v>
      </c>
      <c r="N28" s="608">
        <f t="shared" si="8"/>
        <v>320</v>
      </c>
      <c r="O28" s="608">
        <f t="shared" si="8"/>
        <v>776.75</v>
      </c>
      <c r="P28" s="608">
        <f t="shared" si="8"/>
        <v>825</v>
      </c>
      <c r="Q28" s="608">
        <f t="shared" si="8"/>
        <v>288</v>
      </c>
      <c r="R28" s="611">
        <f t="shared" si="4"/>
        <v>103.13507075802157</v>
      </c>
      <c r="S28" s="166"/>
      <c r="T28" s="153"/>
      <c r="U28" s="156"/>
      <c r="V28" s="162"/>
      <c r="W28" s="258"/>
      <c r="X28" s="259"/>
      <c r="Y28" s="243"/>
      <c r="Z28" s="248"/>
      <c r="AA28" s="248"/>
      <c r="AB28" s="248"/>
      <c r="AC28" s="248"/>
      <c r="AD28" s="248"/>
      <c r="AE28" s="248"/>
      <c r="AF28" s="248"/>
      <c r="AG28" s="248"/>
      <c r="AH28" s="248"/>
    </row>
    <row r="29" spans="1:34" s="260" customFormat="1" ht="17.25" customHeight="1">
      <c r="A29" s="595" t="s">
        <v>117</v>
      </c>
      <c r="B29" s="596" t="s">
        <v>332</v>
      </c>
      <c r="C29" s="595" t="s">
        <v>275</v>
      </c>
      <c r="D29" s="612">
        <f>D37+D45+D54</f>
        <v>459</v>
      </c>
      <c r="E29" s="633">
        <f>SUM(F29:Q29)</f>
        <v>471</v>
      </c>
      <c r="F29" s="615">
        <f>F37+F45+F54</f>
        <v>61</v>
      </c>
      <c r="G29" s="615">
        <f t="shared" si="8"/>
        <v>61</v>
      </c>
      <c r="H29" s="615">
        <f t="shared" si="8"/>
        <v>62</v>
      </c>
      <c r="I29" s="615">
        <f t="shared" si="8"/>
        <v>29</v>
      </c>
      <c r="J29" s="615">
        <f t="shared" si="8"/>
        <v>44</v>
      </c>
      <c r="K29" s="615">
        <f t="shared" si="8"/>
        <v>48</v>
      </c>
      <c r="L29" s="615">
        <f t="shared" si="8"/>
        <v>28</v>
      </c>
      <c r="M29" s="615">
        <f t="shared" si="8"/>
        <v>27</v>
      </c>
      <c r="N29" s="615">
        <f t="shared" si="8"/>
        <v>21</v>
      </c>
      <c r="O29" s="615">
        <f t="shared" si="8"/>
        <v>33</v>
      </c>
      <c r="P29" s="615">
        <f t="shared" si="8"/>
        <v>36</v>
      </c>
      <c r="Q29" s="615">
        <f t="shared" si="8"/>
        <v>21</v>
      </c>
      <c r="R29" s="598">
        <f t="shared" si="4"/>
        <v>102.61437908496731</v>
      </c>
      <c r="S29" s="171"/>
      <c r="T29" s="153"/>
      <c r="U29" s="156"/>
      <c r="V29" s="153"/>
      <c r="W29" s="258"/>
      <c r="X29" s="259"/>
      <c r="Y29" s="243"/>
      <c r="Z29" s="248"/>
      <c r="AA29" s="248"/>
      <c r="AB29" s="248"/>
      <c r="AC29" s="248"/>
      <c r="AD29" s="248"/>
      <c r="AE29" s="248"/>
      <c r="AF29" s="248"/>
      <c r="AG29" s="248"/>
      <c r="AH29" s="248"/>
    </row>
    <row r="30" spans="1:34" s="260" customFormat="1" ht="17.25" customHeight="1">
      <c r="A30" s="595" t="s">
        <v>120</v>
      </c>
      <c r="B30" s="596" t="s">
        <v>329</v>
      </c>
      <c r="C30" s="595"/>
      <c r="D30" s="600"/>
      <c r="E30" s="601"/>
      <c r="F30" s="601"/>
      <c r="G30" s="601"/>
      <c r="H30" s="601"/>
      <c r="I30" s="601"/>
      <c r="J30" s="601"/>
      <c r="K30" s="601"/>
      <c r="L30" s="601"/>
      <c r="M30" s="601"/>
      <c r="N30" s="601"/>
      <c r="O30" s="601"/>
      <c r="P30" s="601"/>
      <c r="Q30" s="601"/>
      <c r="R30" s="602"/>
      <c r="S30" s="171"/>
      <c r="T30" s="153"/>
      <c r="U30" s="156"/>
      <c r="V30" s="153"/>
      <c r="W30" s="258"/>
      <c r="X30" s="259"/>
      <c r="Y30" s="243"/>
      <c r="Z30" s="248"/>
      <c r="AA30" s="248"/>
      <c r="AB30" s="248"/>
      <c r="AC30" s="248"/>
      <c r="AD30" s="248"/>
      <c r="AE30" s="248"/>
      <c r="AF30" s="248"/>
      <c r="AG30" s="248"/>
      <c r="AH30" s="248"/>
    </row>
    <row r="31" spans="1:34" s="261" customFormat="1" ht="17.25" customHeight="1">
      <c r="A31" s="595"/>
      <c r="B31" s="607" t="s">
        <v>442</v>
      </c>
      <c r="C31" s="606" t="s">
        <v>13</v>
      </c>
      <c r="D31" s="615">
        <v>41.8</v>
      </c>
      <c r="E31" s="634">
        <v>48.3</v>
      </c>
      <c r="F31" s="635">
        <f>454/F27*100</f>
        <v>21.660305343511453</v>
      </c>
      <c r="G31" s="635">
        <f>997/G27*100</f>
        <v>50.609137055837564</v>
      </c>
      <c r="H31" s="635">
        <f>850/H27*100</f>
        <v>43.70179948586118</v>
      </c>
      <c r="I31" s="635">
        <f>392/I27*100</f>
        <v>48.275862068965516</v>
      </c>
      <c r="J31" s="635">
        <f>648/J27*100</f>
        <v>49.57918898240245</v>
      </c>
      <c r="K31" s="635">
        <f>586/K27*100</f>
        <v>41.9170243204578</v>
      </c>
      <c r="L31" s="635">
        <f>434/L27*100</f>
        <v>50.93896713615024</v>
      </c>
      <c r="M31" s="635">
        <f>403/M27*100</f>
        <v>47.18969555035129</v>
      </c>
      <c r="N31" s="635">
        <f>313/N27*100</f>
        <v>52.25375626043406</v>
      </c>
      <c r="O31" s="635">
        <f>321/O27*100</f>
        <v>28.558718861209965</v>
      </c>
      <c r="P31" s="635">
        <f>481/P27*100</f>
        <v>42.41622574955908</v>
      </c>
      <c r="Q31" s="635">
        <f>269/Q27*100</f>
        <v>49.177330895795244</v>
      </c>
      <c r="R31" s="617">
        <f>E31-D31</f>
        <v>6.5</v>
      </c>
      <c r="S31" s="166"/>
      <c r="T31" s="262"/>
      <c r="U31" s="161" t="s">
        <v>81</v>
      </c>
      <c r="V31" s="262" t="s">
        <v>13</v>
      </c>
      <c r="W31" s="250">
        <f aca="true" t="shared" si="9" ref="W31:AH31">(W40+W48+W57)/3</f>
        <v>43.166666666666664</v>
      </c>
      <c r="X31" s="251" t="e">
        <f t="shared" si="9"/>
        <v>#DIV/0!</v>
      </c>
      <c r="Y31" s="263">
        <f t="shared" si="9"/>
        <v>44.07170929283334</v>
      </c>
      <c r="Z31" s="253">
        <f t="shared" si="9"/>
        <v>48.60919281031013</v>
      </c>
      <c r="AA31" s="253">
        <f t="shared" si="9"/>
        <v>45.43193523049036</v>
      </c>
      <c r="AB31" s="253">
        <f t="shared" si="9"/>
        <v>37.04237822987823</v>
      </c>
      <c r="AC31" s="253">
        <f t="shared" si="9"/>
        <v>51.90864527629233</v>
      </c>
      <c r="AD31" s="253">
        <f t="shared" si="9"/>
        <v>36.3155673599119</v>
      </c>
      <c r="AE31" s="253">
        <f t="shared" si="9"/>
        <v>35.32663514452784</v>
      </c>
      <c r="AF31" s="253">
        <f t="shared" si="9"/>
        <v>44.29290155462143</v>
      </c>
      <c r="AG31" s="253">
        <f t="shared" si="9"/>
        <v>45.792111823361815</v>
      </c>
      <c r="AH31" s="253">
        <f t="shared" si="9"/>
        <v>32.362037166736705</v>
      </c>
    </row>
    <row r="32" spans="1:34" s="261" customFormat="1" ht="17.25" customHeight="1">
      <c r="A32" s="595"/>
      <c r="B32" s="607" t="s">
        <v>82</v>
      </c>
      <c r="C32" s="606" t="s">
        <v>13</v>
      </c>
      <c r="D32" s="615">
        <v>95.7</v>
      </c>
      <c r="E32" s="632">
        <v>80</v>
      </c>
      <c r="F32" s="635">
        <v>99.8</v>
      </c>
      <c r="G32" s="635">
        <v>90.5</v>
      </c>
      <c r="H32" s="635">
        <v>78.6</v>
      </c>
      <c r="I32" s="635">
        <v>81.3</v>
      </c>
      <c r="J32" s="635">
        <v>79.2</v>
      </c>
      <c r="K32" s="635">
        <v>85.1</v>
      </c>
      <c r="L32" s="635">
        <v>79.3</v>
      </c>
      <c r="M32" s="635">
        <v>78.9</v>
      </c>
      <c r="N32" s="635">
        <v>83.2</v>
      </c>
      <c r="O32" s="635">
        <v>75.4</v>
      </c>
      <c r="P32" s="635">
        <v>76.8</v>
      </c>
      <c r="Q32" s="635">
        <v>78.7</v>
      </c>
      <c r="R32" s="619">
        <f>E32-D32</f>
        <v>-15.700000000000003</v>
      </c>
      <c r="S32" s="166"/>
      <c r="T32" s="262"/>
      <c r="U32" s="161" t="s">
        <v>82</v>
      </c>
      <c r="V32" s="262" t="s">
        <v>13</v>
      </c>
      <c r="W32" s="250">
        <f>(W39+W47+W56)/3</f>
        <v>79.53333333333335</v>
      </c>
      <c r="X32" s="251">
        <v>79.6</v>
      </c>
      <c r="Y32" s="252">
        <f>SUM(Z32:AH32)/9</f>
        <v>79.80148148148149</v>
      </c>
      <c r="Z32" s="253">
        <f aca="true" t="shared" si="10" ref="Z32:AH32">(Z39+Z47+Z56)/3</f>
        <v>95.83333333333333</v>
      </c>
      <c r="AA32" s="253">
        <f t="shared" si="10"/>
        <v>78.73333333333333</v>
      </c>
      <c r="AB32" s="253">
        <f t="shared" si="10"/>
        <v>79.5</v>
      </c>
      <c r="AC32" s="253">
        <f t="shared" si="10"/>
        <v>88.53333333333335</v>
      </c>
      <c r="AD32" s="253">
        <f t="shared" si="10"/>
        <v>74.03333333333333</v>
      </c>
      <c r="AE32" s="253">
        <f t="shared" si="10"/>
        <v>69.60000000000001</v>
      </c>
      <c r="AF32" s="253">
        <f t="shared" si="10"/>
        <v>82.94666666666667</v>
      </c>
      <c r="AG32" s="253">
        <f t="shared" si="10"/>
        <v>77.8</v>
      </c>
      <c r="AH32" s="253">
        <f t="shared" si="10"/>
        <v>71.23333333333333</v>
      </c>
    </row>
    <row r="33" spans="1:34" s="261" customFormat="1" ht="17.25" customHeight="1">
      <c r="A33" s="595"/>
      <c r="B33" s="607" t="s">
        <v>83</v>
      </c>
      <c r="C33" s="606" t="s">
        <v>13</v>
      </c>
      <c r="D33" s="615"/>
      <c r="E33" s="634">
        <f>50/E27*100</f>
        <v>0.3415767181308922</v>
      </c>
      <c r="F33" s="634"/>
      <c r="G33" s="634">
        <f>2/G27*100</f>
        <v>0.10152284263959391</v>
      </c>
      <c r="H33" s="634">
        <f>9/H27*100</f>
        <v>0.46272493573264784</v>
      </c>
      <c r="I33" s="634">
        <f>1/I27*100</f>
        <v>0.12315270935960591</v>
      </c>
      <c r="J33" s="634">
        <f>3/J27*100</f>
        <v>0.22953328232593728</v>
      </c>
      <c r="K33" s="634">
        <f>2/K27*100</f>
        <v>0.14306151645207438</v>
      </c>
      <c r="L33" s="634">
        <f>2/L27*100</f>
        <v>0.2347417840375587</v>
      </c>
      <c r="M33" s="634">
        <f>4/M27*100</f>
        <v>0.468384074941452</v>
      </c>
      <c r="N33" s="634">
        <f>2/N27*100</f>
        <v>0.333889816360601</v>
      </c>
      <c r="O33" s="634">
        <f>6/O27*100</f>
        <v>0.5338078291814947</v>
      </c>
      <c r="P33" s="634">
        <f>4/P27*100</f>
        <v>0.3527336860670194</v>
      </c>
      <c r="Q33" s="634">
        <f>5/Q27*100</f>
        <v>0.9140767824497258</v>
      </c>
      <c r="R33" s="617"/>
      <c r="S33" s="166"/>
      <c r="T33" s="262"/>
      <c r="U33" s="161" t="s">
        <v>83</v>
      </c>
      <c r="V33" s="262" t="s">
        <v>13</v>
      </c>
      <c r="W33" s="250">
        <f>(W41+W49+W58)/3</f>
        <v>2.1</v>
      </c>
      <c r="X33" s="251">
        <f>(X41+X49+X58)/3</f>
        <v>1.8933333333333333</v>
      </c>
      <c r="Y33" s="252" t="e">
        <f>SUM(Z33:AH33)/9</f>
        <v>#VALUE!</v>
      </c>
      <c r="Z33" s="253" t="e">
        <f aca="true" t="shared" si="11" ref="Z33:AH34">(Z41+Z49+Z58)/3</f>
        <v>#VALUE!</v>
      </c>
      <c r="AA33" s="253">
        <f t="shared" si="11"/>
        <v>1.2333333333333334</v>
      </c>
      <c r="AB33" s="253">
        <f t="shared" si="11"/>
        <v>1.8373333333333333</v>
      </c>
      <c r="AC33" s="253">
        <f t="shared" si="11"/>
        <v>2.7999999999999994</v>
      </c>
      <c r="AD33" s="253">
        <f t="shared" si="11"/>
        <v>1.3</v>
      </c>
      <c r="AE33" s="253">
        <f t="shared" si="11"/>
        <v>2.733333333333333</v>
      </c>
      <c r="AF33" s="253">
        <f t="shared" si="11"/>
        <v>1.7</v>
      </c>
      <c r="AG33" s="253">
        <f t="shared" si="11"/>
        <v>1.6333333333333335</v>
      </c>
      <c r="AH33" s="253">
        <f t="shared" si="11"/>
        <v>1.7</v>
      </c>
    </row>
    <row r="34" spans="1:34" s="261" customFormat="1" ht="17.25" customHeight="1">
      <c r="A34" s="595"/>
      <c r="B34" s="607" t="s">
        <v>84</v>
      </c>
      <c r="C34" s="606" t="s">
        <v>13</v>
      </c>
      <c r="D34" s="615">
        <v>0.3</v>
      </c>
      <c r="E34" s="634">
        <f>50/E27*100</f>
        <v>0.3415767181308922</v>
      </c>
      <c r="F34" s="634"/>
      <c r="G34" s="634">
        <f>3/G27*100</f>
        <v>0.15228426395939085</v>
      </c>
      <c r="H34" s="634">
        <f>6/H27*100</f>
        <v>0.30848329048843187</v>
      </c>
      <c r="I34" s="634">
        <f>3/I27*100</f>
        <v>0.3694581280788177</v>
      </c>
      <c r="J34" s="634">
        <f>4/J27*100</f>
        <v>0.306044376434583</v>
      </c>
      <c r="K34" s="634">
        <f>4/K27*100</f>
        <v>0.28612303290414876</v>
      </c>
      <c r="L34" s="634">
        <f>3/L27*100</f>
        <v>0.35211267605633806</v>
      </c>
      <c r="M34" s="634">
        <f>3/M27*100</f>
        <v>0.351288056206089</v>
      </c>
      <c r="N34" s="634">
        <f>2/N27*100</f>
        <v>0.333889816360601</v>
      </c>
      <c r="O34" s="634">
        <f>4/O27*100</f>
        <v>0.3558718861209964</v>
      </c>
      <c r="P34" s="634">
        <f>3/P27*100</f>
        <v>0.26455026455026454</v>
      </c>
      <c r="Q34" s="634">
        <f>2/Q27*100</f>
        <v>0.3656307129798903</v>
      </c>
      <c r="R34" s="617"/>
      <c r="S34" s="166"/>
      <c r="T34" s="262"/>
      <c r="U34" s="161" t="s">
        <v>85</v>
      </c>
      <c r="V34" s="262" t="s">
        <v>13</v>
      </c>
      <c r="W34" s="250">
        <f>(W42+W50+W59)/3</f>
        <v>1.866666666666667</v>
      </c>
      <c r="X34" s="251">
        <f>(X42+X50+X59)/3</f>
        <v>1.8333333333333333</v>
      </c>
      <c r="Y34" s="252">
        <f>SUM(Z34:AH34)/9</f>
        <v>1.8077777777777777</v>
      </c>
      <c r="Z34" s="253">
        <f t="shared" si="11"/>
        <v>1.0333333333333334</v>
      </c>
      <c r="AA34" s="253">
        <f t="shared" si="11"/>
        <v>1.5999999999999999</v>
      </c>
      <c r="AB34" s="253">
        <f t="shared" si="11"/>
        <v>2.32</v>
      </c>
      <c r="AC34" s="253">
        <f t="shared" si="11"/>
        <v>1.8333333333333333</v>
      </c>
      <c r="AD34" s="253">
        <f t="shared" si="11"/>
        <v>1.5833333333333333</v>
      </c>
      <c r="AE34" s="253">
        <f t="shared" si="11"/>
        <v>2.183333333333333</v>
      </c>
      <c r="AF34" s="253">
        <f t="shared" si="11"/>
        <v>1.9833333333333334</v>
      </c>
      <c r="AG34" s="253">
        <f t="shared" si="11"/>
        <v>1.75</v>
      </c>
      <c r="AH34" s="253">
        <f t="shared" si="11"/>
        <v>1.9833333333333334</v>
      </c>
    </row>
    <row r="35" spans="1:37" s="177" customFormat="1" ht="17.25" customHeight="1">
      <c r="A35" s="636" t="s">
        <v>182</v>
      </c>
      <c r="B35" s="637" t="s">
        <v>86</v>
      </c>
      <c r="C35" s="595" t="s">
        <v>443</v>
      </c>
      <c r="D35" s="601">
        <v>7570</v>
      </c>
      <c r="E35" s="618">
        <f>SUM(F35:Q35)</f>
        <v>7861</v>
      </c>
      <c r="F35" s="618">
        <v>559</v>
      </c>
      <c r="G35" s="618">
        <v>1154</v>
      </c>
      <c r="H35" s="618">
        <v>1080</v>
      </c>
      <c r="I35" s="618">
        <v>483</v>
      </c>
      <c r="J35" s="618">
        <v>806</v>
      </c>
      <c r="K35" s="618">
        <v>858</v>
      </c>
      <c r="L35" s="618">
        <v>509</v>
      </c>
      <c r="M35" s="618">
        <v>539</v>
      </c>
      <c r="N35" s="618">
        <v>349</v>
      </c>
      <c r="O35" s="618">
        <v>535</v>
      </c>
      <c r="P35" s="618">
        <v>672</v>
      </c>
      <c r="Q35" s="618">
        <v>317</v>
      </c>
      <c r="R35" s="602">
        <f t="shared" si="4"/>
        <v>103.8441215323646</v>
      </c>
      <c r="S35" s="172"/>
      <c r="T35" s="173"/>
      <c r="U35" s="174"/>
      <c r="V35" s="153"/>
      <c r="W35" s="175"/>
      <c r="X35" s="176"/>
      <c r="Y35" s="244"/>
      <c r="Z35" s="248"/>
      <c r="AA35" s="248"/>
      <c r="AB35" s="249"/>
      <c r="AC35" s="249"/>
      <c r="AD35" s="248"/>
      <c r="AE35" s="155"/>
      <c r="AF35" s="248"/>
      <c r="AG35" s="155"/>
      <c r="AH35" s="248"/>
      <c r="AK35" s="172"/>
    </row>
    <row r="36" spans="1:34" s="152" customFormat="1" ht="17.25" customHeight="1">
      <c r="A36" s="606"/>
      <c r="B36" s="607" t="s">
        <v>79</v>
      </c>
      <c r="C36" s="606" t="s">
        <v>443</v>
      </c>
      <c r="D36" s="632">
        <v>3409</v>
      </c>
      <c r="E36" s="630">
        <f>SUM(F36:Q36)</f>
        <v>3729</v>
      </c>
      <c r="F36" s="632"/>
      <c r="G36" s="632">
        <v>629</v>
      </c>
      <c r="H36" s="632">
        <v>369</v>
      </c>
      <c r="I36" s="632">
        <v>176</v>
      </c>
      <c r="J36" s="632">
        <v>338</v>
      </c>
      <c r="K36" s="632">
        <v>433</v>
      </c>
      <c r="L36" s="632">
        <v>345</v>
      </c>
      <c r="M36" s="632">
        <v>250</v>
      </c>
      <c r="N36" s="632">
        <v>185</v>
      </c>
      <c r="O36" s="632">
        <v>393</v>
      </c>
      <c r="P36" s="632">
        <v>454</v>
      </c>
      <c r="Q36" s="632">
        <v>157</v>
      </c>
      <c r="R36" s="611">
        <f t="shared" si="4"/>
        <v>109.38691698445291</v>
      </c>
      <c r="S36" s="166"/>
      <c r="T36" s="173"/>
      <c r="U36" s="174"/>
      <c r="V36" s="162"/>
      <c r="W36" s="157"/>
      <c r="X36" s="158"/>
      <c r="Y36" s="243"/>
      <c r="Z36" s="248"/>
      <c r="AA36" s="248"/>
      <c r="AB36" s="249"/>
      <c r="AC36" s="249"/>
      <c r="AD36" s="248"/>
      <c r="AE36" s="155"/>
      <c r="AF36" s="248"/>
      <c r="AG36" s="155"/>
      <c r="AH36" s="248"/>
    </row>
    <row r="37" spans="1:34" s="265" customFormat="1" ht="17.25" customHeight="1">
      <c r="A37" s="638"/>
      <c r="B37" s="639" t="s">
        <v>303</v>
      </c>
      <c r="C37" s="638" t="s">
        <v>275</v>
      </c>
      <c r="D37" s="615">
        <v>284</v>
      </c>
      <c r="E37" s="630">
        <f>SUM(F37:Q37)</f>
        <v>291</v>
      </c>
      <c r="F37" s="630">
        <v>19</v>
      </c>
      <c r="G37" s="630">
        <v>40</v>
      </c>
      <c r="H37" s="630">
        <v>41</v>
      </c>
      <c r="I37" s="630">
        <v>20</v>
      </c>
      <c r="J37" s="630">
        <v>32</v>
      </c>
      <c r="K37" s="630">
        <v>33</v>
      </c>
      <c r="L37" s="630">
        <v>19</v>
      </c>
      <c r="M37" s="630">
        <v>19</v>
      </c>
      <c r="N37" s="630">
        <v>13</v>
      </c>
      <c r="O37" s="630">
        <v>18</v>
      </c>
      <c r="P37" s="630">
        <v>24</v>
      </c>
      <c r="Q37" s="630">
        <v>13</v>
      </c>
      <c r="R37" s="611">
        <f t="shared" si="4"/>
        <v>102.46478873239437</v>
      </c>
      <c r="S37" s="178"/>
      <c r="T37" s="162"/>
      <c r="U37" s="161"/>
      <c r="V37" s="162"/>
      <c r="W37" s="227"/>
      <c r="X37" s="227"/>
      <c r="Y37" s="264"/>
      <c r="Z37" s="227"/>
      <c r="AA37" s="227"/>
      <c r="AB37" s="227"/>
      <c r="AC37" s="227"/>
      <c r="AD37" s="227"/>
      <c r="AE37" s="227"/>
      <c r="AF37" s="227"/>
      <c r="AG37" s="227"/>
      <c r="AH37" s="227"/>
    </row>
    <row r="38" spans="1:34" s="165" customFormat="1" ht="17.25" customHeight="1">
      <c r="A38" s="606"/>
      <c r="B38" s="607" t="s">
        <v>87</v>
      </c>
      <c r="C38" s="606" t="s">
        <v>13</v>
      </c>
      <c r="D38" s="615">
        <v>99.7</v>
      </c>
      <c r="E38" s="632">
        <v>100</v>
      </c>
      <c r="F38" s="632">
        <v>100</v>
      </c>
      <c r="G38" s="632">
        <v>100</v>
      </c>
      <c r="H38" s="632">
        <v>100</v>
      </c>
      <c r="I38" s="632">
        <v>100</v>
      </c>
      <c r="J38" s="632">
        <v>100</v>
      </c>
      <c r="K38" s="632">
        <v>100</v>
      </c>
      <c r="L38" s="632">
        <v>100</v>
      </c>
      <c r="M38" s="632">
        <v>100</v>
      </c>
      <c r="N38" s="632">
        <v>100</v>
      </c>
      <c r="O38" s="632">
        <v>100</v>
      </c>
      <c r="P38" s="632">
        <v>100</v>
      </c>
      <c r="Q38" s="632">
        <v>100</v>
      </c>
      <c r="R38" s="617">
        <f>E38-D38</f>
        <v>0.29999999999999716</v>
      </c>
      <c r="S38" s="179"/>
      <c r="T38" s="162"/>
      <c r="U38" s="161" t="s">
        <v>88</v>
      </c>
      <c r="V38" s="162" t="s">
        <v>13</v>
      </c>
      <c r="W38" s="250">
        <v>99.1</v>
      </c>
      <c r="X38" s="266">
        <v>99.46</v>
      </c>
      <c r="Y38" s="252">
        <v>99.3</v>
      </c>
      <c r="Z38" s="227">
        <v>100</v>
      </c>
      <c r="AA38" s="253">
        <v>99.9</v>
      </c>
      <c r="AB38" s="267">
        <v>99.5</v>
      </c>
      <c r="AC38" s="267">
        <v>98.6</v>
      </c>
      <c r="AD38" s="253">
        <v>99.8</v>
      </c>
      <c r="AE38" s="160">
        <v>95.2</v>
      </c>
      <c r="AF38" s="227">
        <v>100</v>
      </c>
      <c r="AG38" s="160">
        <v>99.3</v>
      </c>
      <c r="AH38" s="253">
        <v>99.8</v>
      </c>
    </row>
    <row r="39" spans="1:34" s="165" customFormat="1" ht="17.25" customHeight="1">
      <c r="A39" s="606"/>
      <c r="B39" s="607" t="s">
        <v>622</v>
      </c>
      <c r="C39" s="606" t="s">
        <v>13</v>
      </c>
      <c r="D39" s="615">
        <v>99.77</v>
      </c>
      <c r="E39" s="634">
        <v>99.9</v>
      </c>
      <c r="F39" s="632">
        <v>100</v>
      </c>
      <c r="G39" s="634">
        <v>99.8</v>
      </c>
      <c r="H39" s="632">
        <v>100</v>
      </c>
      <c r="I39" s="632">
        <v>100</v>
      </c>
      <c r="J39" s="632">
        <v>100</v>
      </c>
      <c r="K39" s="632">
        <v>100</v>
      </c>
      <c r="L39" s="634">
        <v>99.8</v>
      </c>
      <c r="M39" s="632">
        <v>100</v>
      </c>
      <c r="N39" s="634">
        <v>99.7</v>
      </c>
      <c r="O39" s="632">
        <v>100</v>
      </c>
      <c r="P39" s="634">
        <v>99.7</v>
      </c>
      <c r="Q39" s="634">
        <v>99.7</v>
      </c>
      <c r="R39" s="611">
        <f>E39-D39</f>
        <v>0.13000000000000966</v>
      </c>
      <c r="S39" s="179"/>
      <c r="T39" s="162"/>
      <c r="U39" s="161" t="s">
        <v>89</v>
      </c>
      <c r="V39" s="162" t="s">
        <v>13</v>
      </c>
      <c r="W39" s="250">
        <v>99.2</v>
      </c>
      <c r="X39" s="266">
        <v>99.7</v>
      </c>
      <c r="Y39" s="252">
        <v>99.4</v>
      </c>
      <c r="Z39" s="268">
        <v>100</v>
      </c>
      <c r="AA39" s="269">
        <v>99.5</v>
      </c>
      <c r="AB39" s="269">
        <v>99.3</v>
      </c>
      <c r="AC39" s="269">
        <v>99.9</v>
      </c>
      <c r="AD39" s="269">
        <v>99.5</v>
      </c>
      <c r="AE39" s="180">
        <v>95.4</v>
      </c>
      <c r="AF39" s="269">
        <v>97.04</v>
      </c>
      <c r="AG39" s="180">
        <v>99</v>
      </c>
      <c r="AH39" s="253">
        <v>94</v>
      </c>
    </row>
    <row r="40" spans="1:34" s="165" customFormat="1" ht="17.25" customHeight="1">
      <c r="A40" s="606"/>
      <c r="B40" s="607" t="s">
        <v>80</v>
      </c>
      <c r="C40" s="606" t="s">
        <v>13</v>
      </c>
      <c r="D40" s="615">
        <v>48.6</v>
      </c>
      <c r="E40" s="632">
        <f>3854/E35*100</f>
        <v>49.0268413687826</v>
      </c>
      <c r="F40" s="634">
        <f>250/F35*100</f>
        <v>44.72271914132379</v>
      </c>
      <c r="G40" s="634">
        <f>560/G35*100</f>
        <v>48.52686308492201</v>
      </c>
      <c r="H40" s="634">
        <f>541/H35*100</f>
        <v>50.09259259259259</v>
      </c>
      <c r="I40" s="634">
        <f>233/I35*100</f>
        <v>48.24016563146998</v>
      </c>
      <c r="J40" s="634">
        <f>417/J35*100</f>
        <v>51.736972704714645</v>
      </c>
      <c r="K40" s="634">
        <f>433/K35*100</f>
        <v>50.46620046620046</v>
      </c>
      <c r="L40" s="634">
        <f>259/L35*100</f>
        <v>50.884086444007856</v>
      </c>
      <c r="M40" s="634">
        <f>250/M35*100</f>
        <v>46.38218923933209</v>
      </c>
      <c r="N40" s="634">
        <f>181/N35*100</f>
        <v>51.862464183381086</v>
      </c>
      <c r="O40" s="634">
        <f>247/O35*100</f>
        <v>46.16822429906542</v>
      </c>
      <c r="P40" s="634">
        <f>322/P35*100</f>
        <v>47.91666666666667</v>
      </c>
      <c r="Q40" s="634">
        <f>161/Q35*100</f>
        <v>50.78864353312302</v>
      </c>
      <c r="R40" s="617">
        <f>E40-D40</f>
        <v>0.42684136878259693</v>
      </c>
      <c r="S40" s="166"/>
      <c r="T40" s="162"/>
      <c r="U40" s="161" t="s">
        <v>80</v>
      </c>
      <c r="V40" s="162" t="s">
        <v>13</v>
      </c>
      <c r="W40" s="250">
        <v>47</v>
      </c>
      <c r="X40" s="266" t="e">
        <f>28123/X35*100</f>
        <v>#DIV/0!</v>
      </c>
      <c r="Y40" s="252">
        <v>47.2</v>
      </c>
      <c r="Z40" s="269">
        <v>47.93611793611793</v>
      </c>
      <c r="AA40" s="269">
        <v>48.62139917695473</v>
      </c>
      <c r="AB40" s="269">
        <v>46.16216216216216</v>
      </c>
      <c r="AC40" s="269">
        <v>47.294117647058826</v>
      </c>
      <c r="AD40" s="269">
        <v>47.70328102710414</v>
      </c>
      <c r="AE40" s="269">
        <v>44.525193798449614</v>
      </c>
      <c r="AF40" s="269">
        <v>47.80911062906725</v>
      </c>
      <c r="AG40" s="269">
        <v>47.75240384615385</v>
      </c>
      <c r="AH40" s="269">
        <v>40.44628099173554</v>
      </c>
    </row>
    <row r="41" spans="1:34" s="165" customFormat="1" ht="17.25" customHeight="1">
      <c r="A41" s="606"/>
      <c r="B41" s="607" t="s">
        <v>83</v>
      </c>
      <c r="C41" s="606" t="s">
        <v>13</v>
      </c>
      <c r="D41" s="615"/>
      <c r="E41" s="640">
        <f>15/E35*100</f>
        <v>0.19081541788576517</v>
      </c>
      <c r="F41" s="634"/>
      <c r="G41" s="634"/>
      <c r="H41" s="634">
        <f>2/H35*100</f>
        <v>0.1851851851851852</v>
      </c>
      <c r="I41" s="634"/>
      <c r="J41" s="634">
        <f>2/J35*100</f>
        <v>0.24813895781637718</v>
      </c>
      <c r="K41" s="634">
        <f>1/K35*100</f>
        <v>0.11655011655011654</v>
      </c>
      <c r="L41" s="634">
        <f>1/L35*100</f>
        <v>0.19646365422396855</v>
      </c>
      <c r="M41" s="634">
        <f>2/M35*100</f>
        <v>0.3710575139146568</v>
      </c>
      <c r="N41" s="634"/>
      <c r="O41" s="634">
        <f>2/O35*100</f>
        <v>0.3738317757009346</v>
      </c>
      <c r="P41" s="634">
        <f>3/P35*100</f>
        <v>0.4464285714285714</v>
      </c>
      <c r="Q41" s="634">
        <f>2/Q35*100</f>
        <v>0.6309148264984227</v>
      </c>
      <c r="R41" s="617"/>
      <c r="S41" s="166"/>
      <c r="T41" s="162"/>
      <c r="U41" s="161" t="s">
        <v>83</v>
      </c>
      <c r="V41" s="162" t="s">
        <v>13</v>
      </c>
      <c r="W41" s="270">
        <v>0.5</v>
      </c>
      <c r="X41" s="271">
        <v>0.48</v>
      </c>
      <c r="Y41" s="272">
        <f>SUM(Z41:AH41)/9</f>
        <v>0.4555555555555556</v>
      </c>
      <c r="Z41" s="269" t="s">
        <v>90</v>
      </c>
      <c r="AA41" s="269">
        <v>0</v>
      </c>
      <c r="AB41" s="269">
        <v>0.2</v>
      </c>
      <c r="AC41" s="269">
        <v>1.9</v>
      </c>
      <c r="AD41" s="269">
        <v>0.2</v>
      </c>
      <c r="AE41" s="180">
        <v>1</v>
      </c>
      <c r="AF41" s="269"/>
      <c r="AG41" s="180">
        <v>0.2</v>
      </c>
      <c r="AH41" s="253">
        <v>0.6</v>
      </c>
    </row>
    <row r="42" spans="1:34" s="165" customFormat="1" ht="17.25" customHeight="1">
      <c r="A42" s="606"/>
      <c r="B42" s="607" t="s">
        <v>84</v>
      </c>
      <c r="C42" s="606" t="s">
        <v>13</v>
      </c>
      <c r="D42" s="615">
        <v>0.6</v>
      </c>
      <c r="E42" s="634">
        <f>23/E35*100</f>
        <v>0.2925836407581732</v>
      </c>
      <c r="F42" s="634">
        <f>1/F35*100</f>
        <v>0.17889087656529518</v>
      </c>
      <c r="G42" s="634">
        <f>2/G35*100</f>
        <v>0.17331022530329288</v>
      </c>
      <c r="H42" s="634">
        <f>2/H35*100</f>
        <v>0.1851851851851852</v>
      </c>
      <c r="I42" s="634">
        <f>2/I35*100</f>
        <v>0.4140786749482402</v>
      </c>
      <c r="J42" s="634">
        <f>3/J35*100</f>
        <v>0.37220843672456577</v>
      </c>
      <c r="K42" s="634">
        <f>3/K35*100</f>
        <v>0.34965034965034963</v>
      </c>
      <c r="L42" s="634">
        <f>2/L35*100</f>
        <v>0.3929273084479371</v>
      </c>
      <c r="M42" s="634">
        <f>2/M35*100</f>
        <v>0.3710575139146568</v>
      </c>
      <c r="N42" s="634">
        <f>1/N35*100</f>
        <v>0.28653295128939826</v>
      </c>
      <c r="O42" s="634">
        <f>2/O35*100</f>
        <v>0.3738317757009346</v>
      </c>
      <c r="P42" s="634">
        <f>2/P35*100</f>
        <v>0.2976190476190476</v>
      </c>
      <c r="Q42" s="634">
        <f>1/Q35*100</f>
        <v>0.31545741324921134</v>
      </c>
      <c r="R42" s="617">
        <f t="shared" si="4"/>
        <v>48.7639401263622</v>
      </c>
      <c r="S42" s="166"/>
      <c r="T42" s="162"/>
      <c r="U42" s="161"/>
      <c r="V42" s="162"/>
      <c r="W42" s="250"/>
      <c r="X42" s="266"/>
      <c r="Y42" s="272"/>
      <c r="Z42" s="269"/>
      <c r="AA42" s="269"/>
      <c r="AB42" s="269"/>
      <c r="AC42" s="269"/>
      <c r="AD42" s="269"/>
      <c r="AE42" s="180"/>
      <c r="AF42" s="269"/>
      <c r="AG42" s="180"/>
      <c r="AH42" s="253"/>
    </row>
    <row r="43" spans="1:37" s="152" customFormat="1" ht="17.25" customHeight="1">
      <c r="A43" s="595" t="s">
        <v>183</v>
      </c>
      <c r="B43" s="596" t="s">
        <v>91</v>
      </c>
      <c r="C43" s="595" t="s">
        <v>443</v>
      </c>
      <c r="D43" s="601">
        <v>4774</v>
      </c>
      <c r="E43" s="601">
        <f>SUM(F43:Q43)</f>
        <v>5272</v>
      </c>
      <c r="F43" s="601">
        <v>427</v>
      </c>
      <c r="G43" s="601">
        <v>816</v>
      </c>
      <c r="H43" s="601">
        <v>745</v>
      </c>
      <c r="I43" s="601">
        <v>329</v>
      </c>
      <c r="J43" s="601">
        <v>501</v>
      </c>
      <c r="K43" s="601">
        <v>540</v>
      </c>
      <c r="L43" s="601">
        <v>343</v>
      </c>
      <c r="M43" s="601">
        <v>315</v>
      </c>
      <c r="N43" s="601">
        <v>250</v>
      </c>
      <c r="O43" s="601">
        <v>314</v>
      </c>
      <c r="P43" s="601">
        <v>462</v>
      </c>
      <c r="Q43" s="601">
        <v>230</v>
      </c>
      <c r="R43" s="598">
        <f t="shared" si="4"/>
        <v>110.43150397989108</v>
      </c>
      <c r="S43" s="171"/>
      <c r="T43" s="173" t="s">
        <v>183</v>
      </c>
      <c r="U43" s="174" t="s">
        <v>91</v>
      </c>
      <c r="V43" s="153" t="s">
        <v>64</v>
      </c>
      <c r="W43" s="157">
        <v>37088</v>
      </c>
      <c r="X43" s="158">
        <v>36424</v>
      </c>
      <c r="Y43" s="243">
        <f>SUM(Z43:AH43)</f>
        <v>37274</v>
      </c>
      <c r="Z43" s="248">
        <v>2800</v>
      </c>
      <c r="AA43" s="248">
        <v>7014</v>
      </c>
      <c r="AB43" s="248">
        <v>4550</v>
      </c>
      <c r="AC43" s="248">
        <v>550</v>
      </c>
      <c r="AD43" s="248">
        <v>4800</v>
      </c>
      <c r="AE43" s="155">
        <v>5210</v>
      </c>
      <c r="AF43" s="248">
        <v>3550</v>
      </c>
      <c r="AG43" s="155">
        <v>5850</v>
      </c>
      <c r="AH43" s="248">
        <v>2950</v>
      </c>
      <c r="AJ43" s="171"/>
      <c r="AK43" s="172"/>
    </row>
    <row r="44" spans="1:34" s="152" customFormat="1" ht="17.25" customHeight="1">
      <c r="A44" s="606"/>
      <c r="B44" s="607" t="s">
        <v>79</v>
      </c>
      <c r="C44" s="606" t="s">
        <v>443</v>
      </c>
      <c r="D44" s="632">
        <v>2999</v>
      </c>
      <c r="E44" s="632">
        <f>SUM(F44:Q44)</f>
        <v>3326</v>
      </c>
      <c r="F44" s="632"/>
      <c r="G44" s="632">
        <v>549</v>
      </c>
      <c r="H44" s="632">
        <v>406</v>
      </c>
      <c r="I44" s="632">
        <v>200</v>
      </c>
      <c r="J44" s="632">
        <v>423</v>
      </c>
      <c r="K44" s="632">
        <v>501</v>
      </c>
      <c r="L44" s="632">
        <v>291</v>
      </c>
      <c r="M44" s="632">
        <v>169</v>
      </c>
      <c r="N44" s="632">
        <v>135</v>
      </c>
      <c r="O44" s="632">
        <v>150</v>
      </c>
      <c r="P44" s="632">
        <v>371</v>
      </c>
      <c r="Q44" s="632">
        <v>131</v>
      </c>
      <c r="R44" s="617">
        <f t="shared" si="4"/>
        <v>110.90363454484829</v>
      </c>
      <c r="S44" s="166"/>
      <c r="T44" s="173"/>
      <c r="U44" s="174"/>
      <c r="V44" s="162"/>
      <c r="W44" s="157"/>
      <c r="X44" s="158"/>
      <c r="Y44" s="243"/>
      <c r="Z44" s="248"/>
      <c r="AA44" s="248"/>
      <c r="AB44" s="248"/>
      <c r="AC44" s="248"/>
      <c r="AD44" s="248"/>
      <c r="AE44" s="155"/>
      <c r="AF44" s="248"/>
      <c r="AG44" s="155"/>
      <c r="AH44" s="248"/>
    </row>
    <row r="45" spans="1:34" s="261" customFormat="1" ht="17.25" customHeight="1">
      <c r="A45" s="606"/>
      <c r="B45" s="607" t="s">
        <v>303</v>
      </c>
      <c r="C45" s="606" t="s">
        <v>275</v>
      </c>
      <c r="D45" s="615">
        <v>138</v>
      </c>
      <c r="E45" s="631">
        <f>SUM(F45:Q45)</f>
        <v>140</v>
      </c>
      <c r="F45" s="632">
        <v>12</v>
      </c>
      <c r="G45" s="632">
        <v>21</v>
      </c>
      <c r="H45" s="632">
        <v>18</v>
      </c>
      <c r="I45" s="632">
        <v>9</v>
      </c>
      <c r="J45" s="632">
        <v>12</v>
      </c>
      <c r="K45" s="632">
        <v>15</v>
      </c>
      <c r="L45" s="632">
        <v>9</v>
      </c>
      <c r="M45" s="632">
        <v>8</v>
      </c>
      <c r="N45" s="632">
        <v>8</v>
      </c>
      <c r="O45" s="632">
        <v>8</v>
      </c>
      <c r="P45" s="632">
        <v>12</v>
      </c>
      <c r="Q45" s="632">
        <v>8</v>
      </c>
      <c r="R45" s="611">
        <f t="shared" si="4"/>
        <v>101.44927536231884</v>
      </c>
      <c r="S45" s="166"/>
      <c r="T45" s="162"/>
      <c r="U45" s="161"/>
      <c r="V45" s="162"/>
      <c r="W45" s="273"/>
      <c r="X45" s="274"/>
      <c r="Y45" s="246"/>
      <c r="Z45" s="227"/>
      <c r="AA45" s="227"/>
      <c r="AB45" s="227"/>
      <c r="AC45" s="227"/>
      <c r="AD45" s="227"/>
      <c r="AE45" s="227"/>
      <c r="AF45" s="227"/>
      <c r="AG45" s="227"/>
      <c r="AH45" s="227"/>
    </row>
    <row r="46" spans="1:34" s="165" customFormat="1" ht="17.25" customHeight="1">
      <c r="A46" s="606"/>
      <c r="B46" s="607" t="s">
        <v>92</v>
      </c>
      <c r="C46" s="606" t="s">
        <v>13</v>
      </c>
      <c r="D46" s="615">
        <v>95.1</v>
      </c>
      <c r="E46" s="632">
        <v>95</v>
      </c>
      <c r="F46" s="610">
        <v>100</v>
      </c>
      <c r="G46" s="641">
        <v>97.2</v>
      </c>
      <c r="H46" s="641">
        <v>95.7</v>
      </c>
      <c r="I46" s="610">
        <v>100</v>
      </c>
      <c r="J46" s="641">
        <v>95.2</v>
      </c>
      <c r="K46" s="610">
        <v>95</v>
      </c>
      <c r="L46" s="641">
        <v>92.6</v>
      </c>
      <c r="M46" s="641">
        <v>91.5</v>
      </c>
      <c r="N46" s="610">
        <v>100</v>
      </c>
      <c r="O46" s="610">
        <v>92</v>
      </c>
      <c r="P46" s="610">
        <v>96</v>
      </c>
      <c r="Q46" s="610">
        <v>100</v>
      </c>
      <c r="R46" s="619">
        <f>E46-D46</f>
        <v>-0.09999999999999432</v>
      </c>
      <c r="S46" s="166"/>
      <c r="T46" s="162"/>
      <c r="U46" s="161" t="s">
        <v>93</v>
      </c>
      <c r="V46" s="162" t="s">
        <v>13</v>
      </c>
      <c r="W46" s="250">
        <v>86</v>
      </c>
      <c r="X46" s="266">
        <v>86.2</v>
      </c>
      <c r="Y46" s="252">
        <v>87.9</v>
      </c>
      <c r="Z46" s="253">
        <v>99</v>
      </c>
      <c r="AA46" s="253">
        <v>98.5</v>
      </c>
      <c r="AB46" s="253">
        <v>90</v>
      </c>
      <c r="AC46" s="181">
        <v>87</v>
      </c>
      <c r="AD46" s="253">
        <v>91</v>
      </c>
      <c r="AE46" s="160">
        <v>80.1</v>
      </c>
      <c r="AF46" s="253">
        <v>98</v>
      </c>
      <c r="AG46" s="160">
        <v>99</v>
      </c>
      <c r="AH46" s="253">
        <v>66</v>
      </c>
    </row>
    <row r="47" spans="1:34" s="165" customFormat="1" ht="17.25" customHeight="1">
      <c r="A47" s="606"/>
      <c r="B47" s="607" t="s">
        <v>94</v>
      </c>
      <c r="C47" s="606" t="s">
        <v>13</v>
      </c>
      <c r="D47" s="615">
        <v>88.2</v>
      </c>
      <c r="E47" s="632">
        <v>91</v>
      </c>
      <c r="F47" s="610">
        <v>100</v>
      </c>
      <c r="G47" s="641">
        <v>94.1</v>
      </c>
      <c r="H47" s="610">
        <v>90</v>
      </c>
      <c r="I47" s="641">
        <v>90.7</v>
      </c>
      <c r="J47" s="641">
        <v>90.3</v>
      </c>
      <c r="K47" s="641">
        <v>91.4</v>
      </c>
      <c r="L47" s="641">
        <v>90.8</v>
      </c>
      <c r="M47" s="641">
        <v>91.5</v>
      </c>
      <c r="N47" s="641">
        <v>90.9</v>
      </c>
      <c r="O47" s="641">
        <v>91.3</v>
      </c>
      <c r="P47" s="641">
        <v>89.9</v>
      </c>
      <c r="Q47" s="641">
        <v>89.4</v>
      </c>
      <c r="R47" s="617">
        <f>E47-D47</f>
        <v>2.799999999999997</v>
      </c>
      <c r="S47" s="166"/>
      <c r="T47" s="162"/>
      <c r="U47" s="161" t="s">
        <v>94</v>
      </c>
      <c r="V47" s="162" t="s">
        <v>13</v>
      </c>
      <c r="W47" s="250">
        <v>88.2</v>
      </c>
      <c r="X47" s="266">
        <v>87.4</v>
      </c>
      <c r="Y47" s="252">
        <v>88.7</v>
      </c>
      <c r="Z47" s="253">
        <v>98</v>
      </c>
      <c r="AA47" s="253">
        <v>89.5</v>
      </c>
      <c r="AB47" s="253">
        <v>98</v>
      </c>
      <c r="AC47" s="181">
        <v>98</v>
      </c>
      <c r="AD47" s="253">
        <v>95</v>
      </c>
      <c r="AE47" s="160">
        <v>80</v>
      </c>
      <c r="AF47" s="253">
        <v>95</v>
      </c>
      <c r="AG47" s="160">
        <v>97</v>
      </c>
      <c r="AH47" s="253">
        <v>84.5</v>
      </c>
    </row>
    <row r="48" spans="1:34" s="165" customFormat="1" ht="17.25" customHeight="1">
      <c r="A48" s="606"/>
      <c r="B48" s="607" t="s">
        <v>80</v>
      </c>
      <c r="C48" s="606" t="s">
        <v>13</v>
      </c>
      <c r="D48" s="615">
        <v>43.3</v>
      </c>
      <c r="E48" s="634">
        <v>47.2</v>
      </c>
      <c r="F48" s="634">
        <f>204/F43*100</f>
        <v>47.7751756440281</v>
      </c>
      <c r="G48" s="634">
        <f>436/G43*100</f>
        <v>53.431372549019606</v>
      </c>
      <c r="H48" s="634">
        <v>43.6</v>
      </c>
      <c r="I48" s="634">
        <f>159/I43*100</f>
        <v>48.328267477203646</v>
      </c>
      <c r="J48" s="634">
        <f>231/J43*100</f>
        <v>46.10778443113773</v>
      </c>
      <c r="K48" s="634">
        <f>252/K43*100</f>
        <v>46.666666666666664</v>
      </c>
      <c r="L48" s="634">
        <f>175/L43*100</f>
        <v>51.02040816326531</v>
      </c>
      <c r="M48" s="634">
        <f>153/M43*100</f>
        <v>48.57142857142857</v>
      </c>
      <c r="N48" s="634">
        <f>132/N43*100</f>
        <v>52.800000000000004</v>
      </c>
      <c r="O48" s="634">
        <v>50.1</v>
      </c>
      <c r="P48" s="634">
        <f>159/P43*100</f>
        <v>34.41558441558442</v>
      </c>
      <c r="Q48" s="634">
        <f>108/Q43*100</f>
        <v>46.95652173913044</v>
      </c>
      <c r="R48" s="617">
        <f>E48-D48</f>
        <v>3.9000000000000057</v>
      </c>
      <c r="S48" s="166"/>
      <c r="T48" s="162"/>
      <c r="U48" s="161" t="s">
        <v>80</v>
      </c>
      <c r="V48" s="162" t="s">
        <v>13</v>
      </c>
      <c r="W48" s="250">
        <v>42.3</v>
      </c>
      <c r="X48" s="266">
        <f>(14840+110+274)/X43*100</f>
        <v>41.7966176147595</v>
      </c>
      <c r="Y48" s="252">
        <f>15877/Y43*100</f>
        <v>42.59537479208027</v>
      </c>
      <c r="Z48" s="269">
        <v>48.142857142857146</v>
      </c>
      <c r="AA48" s="269">
        <v>44.525235243798114</v>
      </c>
      <c r="AB48" s="269">
        <v>38.527472527472526</v>
      </c>
      <c r="AC48" s="269">
        <v>44.18181818181818</v>
      </c>
      <c r="AD48" s="269">
        <v>39.875</v>
      </c>
      <c r="AE48" s="269">
        <v>35.93090211132438</v>
      </c>
      <c r="AF48" s="269">
        <v>46.42253521126761</v>
      </c>
      <c r="AG48" s="269">
        <v>44.2905982905983</v>
      </c>
      <c r="AH48" s="269">
        <v>33.389830508474574</v>
      </c>
    </row>
    <row r="49" spans="1:34" s="165" customFormat="1" ht="17.25" customHeight="1">
      <c r="A49" s="606"/>
      <c r="B49" s="607" t="s">
        <v>83</v>
      </c>
      <c r="C49" s="606" t="s">
        <v>13</v>
      </c>
      <c r="D49" s="615"/>
      <c r="E49" s="634">
        <f>25/E43*100</f>
        <v>0.47420333839150225</v>
      </c>
      <c r="F49" s="634"/>
      <c r="G49" s="634">
        <f>2/G43*100</f>
        <v>0.24509803921568626</v>
      </c>
      <c r="H49" s="634">
        <f>7/H43*100</f>
        <v>0.9395973154362416</v>
      </c>
      <c r="I49" s="634">
        <f>1/I43*100</f>
        <v>0.303951367781155</v>
      </c>
      <c r="J49" s="634">
        <f>1/J43*100</f>
        <v>0.19960079840319359</v>
      </c>
      <c r="K49" s="634">
        <f>1/K43*100</f>
        <v>0.1851851851851852</v>
      </c>
      <c r="L49" s="634">
        <f>1/L43*100</f>
        <v>0.2915451895043732</v>
      </c>
      <c r="M49" s="634">
        <f>2/M43*100</f>
        <v>0.6349206349206349</v>
      </c>
      <c r="N49" s="634">
        <f>2/N43*100</f>
        <v>0.8</v>
      </c>
      <c r="O49" s="634">
        <f>4/O43*100</f>
        <v>1.2738853503184715</v>
      </c>
      <c r="P49" s="634">
        <f>1/P43*100</f>
        <v>0.21645021645021645</v>
      </c>
      <c r="Q49" s="634">
        <f>3/Q43*100</f>
        <v>1.3043478260869565</v>
      </c>
      <c r="R49" s="602"/>
      <c r="S49" s="166"/>
      <c r="T49" s="162"/>
      <c r="U49" s="161" t="s">
        <v>83</v>
      </c>
      <c r="V49" s="162" t="s">
        <v>13</v>
      </c>
      <c r="W49" s="250">
        <v>1</v>
      </c>
      <c r="X49" s="266">
        <v>0.9</v>
      </c>
      <c r="Y49" s="252">
        <f>SUM(Z49:AH49)/9</f>
        <v>0.8679999999999999</v>
      </c>
      <c r="Z49" s="269" t="s">
        <v>90</v>
      </c>
      <c r="AA49" s="253">
        <v>0.5</v>
      </c>
      <c r="AB49" s="182">
        <v>0.012</v>
      </c>
      <c r="AC49" s="181">
        <v>2.3</v>
      </c>
      <c r="AD49" s="253">
        <v>1</v>
      </c>
      <c r="AE49" s="160">
        <v>1.5</v>
      </c>
      <c r="AF49" s="253">
        <v>1</v>
      </c>
      <c r="AG49" s="160">
        <v>1</v>
      </c>
      <c r="AH49" s="253">
        <v>0.5</v>
      </c>
    </row>
    <row r="50" spans="1:34" s="165" customFormat="1" ht="17.25" customHeight="1">
      <c r="A50" s="606"/>
      <c r="B50" s="607" t="s">
        <v>84</v>
      </c>
      <c r="C50" s="606" t="s">
        <v>13</v>
      </c>
      <c r="D50" s="615">
        <v>0.04</v>
      </c>
      <c r="E50" s="640">
        <f>15/E43*100</f>
        <v>0.2845220030349013</v>
      </c>
      <c r="F50" s="634"/>
      <c r="G50" s="634">
        <f>1/G43*100</f>
        <v>0.12254901960784313</v>
      </c>
      <c r="H50" s="634">
        <f>4/H43*100</f>
        <v>0.5369127516778524</v>
      </c>
      <c r="I50" s="634">
        <f aca="true" t="shared" si="12" ref="I50:N50">1/I43*100</f>
        <v>0.303951367781155</v>
      </c>
      <c r="J50" s="634">
        <f t="shared" si="12"/>
        <v>0.19960079840319359</v>
      </c>
      <c r="K50" s="634">
        <f t="shared" si="12"/>
        <v>0.1851851851851852</v>
      </c>
      <c r="L50" s="634">
        <f t="shared" si="12"/>
        <v>0.2915451895043732</v>
      </c>
      <c r="M50" s="634">
        <f t="shared" si="12"/>
        <v>0.31746031746031744</v>
      </c>
      <c r="N50" s="634">
        <f t="shared" si="12"/>
        <v>0.4</v>
      </c>
      <c r="O50" s="634">
        <f>2/O43*100</f>
        <v>0.6369426751592357</v>
      </c>
      <c r="P50" s="634">
        <f>1/P43*100</f>
        <v>0.21645021645021645</v>
      </c>
      <c r="Q50" s="634">
        <f>1/Q43*100</f>
        <v>0.43478260869565216</v>
      </c>
      <c r="R50" s="611">
        <f>E50-D50</f>
        <v>0.24452200303490132</v>
      </c>
      <c r="S50" s="166"/>
      <c r="T50" s="162"/>
      <c r="U50" s="161" t="s">
        <v>84</v>
      </c>
      <c r="V50" s="162" t="s">
        <v>13</v>
      </c>
      <c r="W50" s="250">
        <v>0.9</v>
      </c>
      <c r="X50" s="266">
        <v>0.9</v>
      </c>
      <c r="Y50" s="252">
        <v>0.9</v>
      </c>
      <c r="Z50" s="253">
        <v>0.6</v>
      </c>
      <c r="AA50" s="253">
        <v>0.8</v>
      </c>
      <c r="AB50" s="253">
        <v>0.96</v>
      </c>
      <c r="AC50" s="181">
        <v>1.5</v>
      </c>
      <c r="AD50" s="253">
        <v>0.75</v>
      </c>
      <c r="AE50" s="183">
        <v>1.05</v>
      </c>
      <c r="AF50" s="253">
        <v>1.45</v>
      </c>
      <c r="AG50" s="183">
        <v>0.75</v>
      </c>
      <c r="AH50" s="253">
        <v>0.95</v>
      </c>
    </row>
    <row r="51" spans="1:37" s="152" customFormat="1" ht="17.25" customHeight="1">
      <c r="A51" s="595" t="s">
        <v>184</v>
      </c>
      <c r="B51" s="596" t="s">
        <v>95</v>
      </c>
      <c r="C51" s="595" t="s">
        <v>443</v>
      </c>
      <c r="D51" s="601">
        <v>1375</v>
      </c>
      <c r="E51" s="601">
        <f>F51+H51+O51</f>
        <v>1505</v>
      </c>
      <c r="F51" s="601">
        <f>350+760</f>
        <v>1110</v>
      </c>
      <c r="G51" s="601"/>
      <c r="H51" s="601">
        <v>120</v>
      </c>
      <c r="I51" s="601"/>
      <c r="J51" s="601"/>
      <c r="K51" s="601"/>
      <c r="L51" s="601"/>
      <c r="M51" s="601"/>
      <c r="N51" s="601"/>
      <c r="O51" s="601">
        <v>275</v>
      </c>
      <c r="P51" s="601"/>
      <c r="Q51" s="601"/>
      <c r="R51" s="598">
        <f t="shared" si="4"/>
        <v>109.45454545454545</v>
      </c>
      <c r="S51" s="171"/>
      <c r="T51" s="173" t="s">
        <v>184</v>
      </c>
      <c r="U51" s="174" t="s">
        <v>95</v>
      </c>
      <c r="V51" s="153" t="s">
        <v>64</v>
      </c>
      <c r="W51" s="157">
        <v>15305</v>
      </c>
      <c r="X51" s="158">
        <v>15449</v>
      </c>
      <c r="Y51" s="243">
        <f>SUM(Z51:AH51)</f>
        <v>16200</v>
      </c>
      <c r="Z51" s="248">
        <v>3580</v>
      </c>
      <c r="AA51" s="248">
        <v>3620</v>
      </c>
      <c r="AB51" s="248">
        <v>1600</v>
      </c>
      <c r="AC51" s="248">
        <v>400</v>
      </c>
      <c r="AD51" s="248">
        <v>950</v>
      </c>
      <c r="AE51" s="155">
        <v>1050</v>
      </c>
      <c r="AF51" s="248">
        <v>1700</v>
      </c>
      <c r="AG51" s="155">
        <v>2100</v>
      </c>
      <c r="AH51" s="248">
        <v>1200</v>
      </c>
      <c r="AK51" s="172"/>
    </row>
    <row r="52" spans="1:34" s="152" customFormat="1" ht="39" customHeight="1">
      <c r="A52" s="595"/>
      <c r="B52" s="642" t="s">
        <v>735</v>
      </c>
      <c r="C52" s="606" t="s">
        <v>443</v>
      </c>
      <c r="D52" s="615">
        <v>340</v>
      </c>
      <c r="E52" s="632">
        <v>350</v>
      </c>
      <c r="F52" s="632">
        <v>350</v>
      </c>
      <c r="G52" s="632"/>
      <c r="H52" s="632"/>
      <c r="I52" s="632"/>
      <c r="J52" s="632"/>
      <c r="K52" s="632"/>
      <c r="L52" s="632"/>
      <c r="M52" s="632"/>
      <c r="N52" s="632"/>
      <c r="O52" s="632"/>
      <c r="P52" s="632"/>
      <c r="Q52" s="632"/>
      <c r="R52" s="611">
        <f t="shared" si="4"/>
        <v>102.94117647058823</v>
      </c>
      <c r="S52" s="166"/>
      <c r="T52" s="155"/>
      <c r="U52" s="154" t="s">
        <v>99</v>
      </c>
      <c r="V52" s="153" t="s">
        <v>98</v>
      </c>
      <c r="W52" s="157">
        <v>2200</v>
      </c>
      <c r="X52" s="184">
        <f>94+75+98+99+106+104+69+101+70+25+93+66+61+106+64+32+104+63+33+89+36+63+95+66+31+103+64+59+501</f>
        <v>2570</v>
      </c>
      <c r="Y52" s="185">
        <v>2700</v>
      </c>
      <c r="Z52" s="175">
        <v>600</v>
      </c>
      <c r="AA52" s="175">
        <v>300</v>
      </c>
      <c r="AB52" s="175">
        <v>300</v>
      </c>
      <c r="AC52" s="175">
        <v>0</v>
      </c>
      <c r="AD52" s="175">
        <v>300</v>
      </c>
      <c r="AE52" s="175">
        <v>300</v>
      </c>
      <c r="AF52" s="175">
        <v>300</v>
      </c>
      <c r="AG52" s="175">
        <v>300</v>
      </c>
      <c r="AH52" s="175">
        <v>300</v>
      </c>
    </row>
    <row r="53" spans="1:34" s="152" customFormat="1" ht="17.25" customHeight="1">
      <c r="A53" s="606"/>
      <c r="B53" s="607" t="s">
        <v>79</v>
      </c>
      <c r="C53" s="606" t="s">
        <v>443</v>
      </c>
      <c r="D53" s="615">
        <v>729</v>
      </c>
      <c r="E53" s="632">
        <f>F53+H53+O53+F52</f>
        <v>1195.35</v>
      </c>
      <c r="F53" s="632">
        <f>760*71%</f>
        <v>539.6</v>
      </c>
      <c r="G53" s="632"/>
      <c r="H53" s="632">
        <f>H51*60%</f>
        <v>72</v>
      </c>
      <c r="I53" s="632"/>
      <c r="J53" s="632"/>
      <c r="K53" s="632"/>
      <c r="L53" s="632"/>
      <c r="M53" s="632"/>
      <c r="N53" s="632"/>
      <c r="O53" s="632">
        <f>O51*85%</f>
        <v>233.75</v>
      </c>
      <c r="P53" s="632"/>
      <c r="Q53" s="632"/>
      <c r="R53" s="626">
        <f t="shared" si="4"/>
        <v>163.97119341563783</v>
      </c>
      <c r="S53" s="166"/>
      <c r="T53" s="173"/>
      <c r="U53" s="174"/>
      <c r="V53" s="162"/>
      <c r="W53" s="157"/>
      <c r="X53" s="158"/>
      <c r="Y53" s="243"/>
      <c r="Z53" s="248"/>
      <c r="AA53" s="248"/>
      <c r="AB53" s="248"/>
      <c r="AC53" s="248"/>
      <c r="AD53" s="248"/>
      <c r="AE53" s="155"/>
      <c r="AF53" s="248"/>
      <c r="AG53" s="155"/>
      <c r="AH53" s="248"/>
    </row>
    <row r="54" spans="1:34" s="261" customFormat="1" ht="17.25" customHeight="1">
      <c r="A54" s="606"/>
      <c r="B54" s="607" t="s">
        <v>303</v>
      </c>
      <c r="C54" s="606" t="s">
        <v>275</v>
      </c>
      <c r="D54" s="615">
        <v>37</v>
      </c>
      <c r="E54" s="608">
        <f>SUM(F54:O54)</f>
        <v>40</v>
      </c>
      <c r="F54" s="608">
        <v>30</v>
      </c>
      <c r="G54" s="608"/>
      <c r="H54" s="608">
        <v>3</v>
      </c>
      <c r="I54" s="608"/>
      <c r="J54" s="608"/>
      <c r="K54" s="608"/>
      <c r="L54" s="608"/>
      <c r="M54" s="608"/>
      <c r="N54" s="608"/>
      <c r="O54" s="608">
        <v>7</v>
      </c>
      <c r="P54" s="608"/>
      <c r="Q54" s="643"/>
      <c r="R54" s="611">
        <f t="shared" si="4"/>
        <v>108.10810810810811</v>
      </c>
      <c r="S54" s="166"/>
      <c r="T54" s="162"/>
      <c r="U54" s="161"/>
      <c r="V54" s="162"/>
      <c r="W54" s="273"/>
      <c r="X54" s="274"/>
      <c r="Y54" s="246"/>
      <c r="Z54" s="227"/>
      <c r="AA54" s="227"/>
      <c r="AB54" s="227"/>
      <c r="AC54" s="227"/>
      <c r="AD54" s="227"/>
      <c r="AE54" s="227"/>
      <c r="AF54" s="227"/>
      <c r="AG54" s="227"/>
      <c r="AH54" s="227"/>
    </row>
    <row r="55" spans="1:34" s="152" customFormat="1" ht="17.25" customHeight="1">
      <c r="A55" s="595"/>
      <c r="B55" s="607" t="s">
        <v>96</v>
      </c>
      <c r="C55" s="606" t="s">
        <v>13</v>
      </c>
      <c r="D55" s="615">
        <v>49</v>
      </c>
      <c r="E55" s="634">
        <v>49.5</v>
      </c>
      <c r="F55" s="634"/>
      <c r="G55" s="632"/>
      <c r="H55" s="632"/>
      <c r="I55" s="632"/>
      <c r="J55" s="632"/>
      <c r="K55" s="632"/>
      <c r="L55" s="632"/>
      <c r="M55" s="632"/>
      <c r="N55" s="632"/>
      <c r="O55" s="634"/>
      <c r="P55" s="632"/>
      <c r="Q55" s="632"/>
      <c r="R55" s="602"/>
      <c r="S55" s="166"/>
      <c r="T55" s="173"/>
      <c r="U55" s="161" t="s">
        <v>96</v>
      </c>
      <c r="V55" s="162" t="s">
        <v>13</v>
      </c>
      <c r="W55" s="186">
        <v>50.8</v>
      </c>
      <c r="X55" s="187">
        <v>51.2</v>
      </c>
      <c r="Y55" s="252">
        <f>SUM(Z55:AH55)/9</f>
        <v>52.2</v>
      </c>
      <c r="Z55" s="253">
        <v>90.4</v>
      </c>
      <c r="AA55" s="253">
        <v>50.6</v>
      </c>
      <c r="AB55" s="253">
        <v>44.5</v>
      </c>
      <c r="AC55" s="253">
        <v>68.5</v>
      </c>
      <c r="AD55" s="253">
        <v>35</v>
      </c>
      <c r="AE55" s="253">
        <v>36.5</v>
      </c>
      <c r="AF55" s="253">
        <v>61.5</v>
      </c>
      <c r="AG55" s="253">
        <v>44.8</v>
      </c>
      <c r="AH55" s="253">
        <v>38</v>
      </c>
    </row>
    <row r="56" spans="1:34" s="165" customFormat="1" ht="17.25" customHeight="1">
      <c r="A56" s="606"/>
      <c r="B56" s="607" t="s">
        <v>97</v>
      </c>
      <c r="C56" s="606" t="s">
        <v>13</v>
      </c>
      <c r="D56" s="615">
        <v>48.7</v>
      </c>
      <c r="E56" s="632">
        <v>49</v>
      </c>
      <c r="F56" s="634"/>
      <c r="G56" s="634"/>
      <c r="H56" s="634"/>
      <c r="I56" s="634"/>
      <c r="J56" s="634"/>
      <c r="K56" s="634"/>
      <c r="L56" s="634"/>
      <c r="M56" s="634"/>
      <c r="N56" s="634"/>
      <c r="O56" s="634"/>
      <c r="P56" s="632"/>
      <c r="Q56" s="632"/>
      <c r="R56" s="602"/>
      <c r="S56" s="166"/>
      <c r="T56" s="162"/>
      <c r="U56" s="161" t="s">
        <v>97</v>
      </c>
      <c r="V56" s="162" t="s">
        <v>13</v>
      </c>
      <c r="W56" s="250">
        <v>51.2</v>
      </c>
      <c r="X56" s="266">
        <v>51.4</v>
      </c>
      <c r="Y56" s="252">
        <v>51.7</v>
      </c>
      <c r="Z56" s="253">
        <v>89.5</v>
      </c>
      <c r="AA56" s="253">
        <v>47.2</v>
      </c>
      <c r="AB56" s="253">
        <v>41.2</v>
      </c>
      <c r="AC56" s="253">
        <v>67.7</v>
      </c>
      <c r="AD56" s="253">
        <v>27.6</v>
      </c>
      <c r="AE56" s="253">
        <v>33.4</v>
      </c>
      <c r="AF56" s="253">
        <v>56.8</v>
      </c>
      <c r="AG56" s="253">
        <v>37.4</v>
      </c>
      <c r="AH56" s="253">
        <v>35.2</v>
      </c>
    </row>
    <row r="57" spans="1:34" s="165" customFormat="1" ht="17.25" customHeight="1">
      <c r="A57" s="606"/>
      <c r="B57" s="607" t="s">
        <v>80</v>
      </c>
      <c r="C57" s="606" t="s">
        <v>13</v>
      </c>
      <c r="D57" s="615">
        <v>39.5</v>
      </c>
      <c r="E57" s="634">
        <v>40.1</v>
      </c>
      <c r="F57" s="634"/>
      <c r="G57" s="634"/>
      <c r="H57" s="634"/>
      <c r="I57" s="634"/>
      <c r="J57" s="634"/>
      <c r="K57" s="634"/>
      <c r="L57" s="634"/>
      <c r="M57" s="634"/>
      <c r="N57" s="634"/>
      <c r="O57" s="634"/>
      <c r="P57" s="632"/>
      <c r="Q57" s="632"/>
      <c r="R57" s="602"/>
      <c r="S57" s="166"/>
      <c r="T57" s="162"/>
      <c r="U57" s="161" t="s">
        <v>80</v>
      </c>
      <c r="V57" s="162" t="s">
        <v>13</v>
      </c>
      <c r="W57" s="250">
        <v>40.2</v>
      </c>
      <c r="X57" s="266">
        <v>41.6</v>
      </c>
      <c r="Y57" s="252">
        <f>6872/Y51*100</f>
        <v>42.41975308641975</v>
      </c>
      <c r="Z57" s="253">
        <v>49.7486033519553</v>
      </c>
      <c r="AA57" s="253">
        <v>43.149171270718234</v>
      </c>
      <c r="AB57" s="253">
        <v>26.4375</v>
      </c>
      <c r="AC57" s="253">
        <v>64.25</v>
      </c>
      <c r="AD57" s="253">
        <v>21.36842105263158</v>
      </c>
      <c r="AE57" s="253">
        <v>25.523809523809526</v>
      </c>
      <c r="AF57" s="253">
        <v>38.64705882352941</v>
      </c>
      <c r="AG57" s="253">
        <v>45.33333333333333</v>
      </c>
      <c r="AH57" s="253">
        <v>23.25</v>
      </c>
    </row>
    <row r="58" spans="1:34" s="165" customFormat="1" ht="17.25" customHeight="1">
      <c r="A58" s="606"/>
      <c r="B58" s="607" t="s">
        <v>83</v>
      </c>
      <c r="C58" s="606" t="s">
        <v>13</v>
      </c>
      <c r="D58" s="615"/>
      <c r="E58" s="634">
        <v>1.4</v>
      </c>
      <c r="F58" s="634"/>
      <c r="G58" s="632"/>
      <c r="H58" s="632"/>
      <c r="I58" s="632"/>
      <c r="J58" s="632"/>
      <c r="K58" s="632"/>
      <c r="L58" s="632"/>
      <c r="M58" s="632"/>
      <c r="N58" s="632"/>
      <c r="O58" s="634"/>
      <c r="P58" s="632"/>
      <c r="Q58" s="632"/>
      <c r="R58" s="602"/>
      <c r="S58" s="166"/>
      <c r="T58" s="162"/>
      <c r="U58" s="161" t="s">
        <v>83</v>
      </c>
      <c r="V58" s="162" t="s">
        <v>13</v>
      </c>
      <c r="W58" s="250">
        <v>4.8</v>
      </c>
      <c r="X58" s="266">
        <v>4.3</v>
      </c>
      <c r="Y58" s="252">
        <f>SUM(Z58:AH58)/9</f>
        <v>3.855555555555556</v>
      </c>
      <c r="Z58" s="253">
        <v>1.8</v>
      </c>
      <c r="AA58" s="253">
        <v>3.2</v>
      </c>
      <c r="AB58" s="253">
        <v>5.3</v>
      </c>
      <c r="AC58" s="253">
        <v>4.2</v>
      </c>
      <c r="AD58" s="253">
        <v>2.7</v>
      </c>
      <c r="AE58" s="160">
        <v>5.7</v>
      </c>
      <c r="AF58" s="253">
        <v>4.1</v>
      </c>
      <c r="AG58" s="160">
        <v>3.7</v>
      </c>
      <c r="AH58" s="253">
        <v>4</v>
      </c>
    </row>
    <row r="59" spans="1:34" s="165" customFormat="1" ht="17.25" customHeight="1">
      <c r="A59" s="606"/>
      <c r="B59" s="607" t="s">
        <v>84</v>
      </c>
      <c r="C59" s="606" t="s">
        <v>13</v>
      </c>
      <c r="D59" s="615"/>
      <c r="E59" s="634">
        <v>1.4</v>
      </c>
      <c r="F59" s="634"/>
      <c r="G59" s="634"/>
      <c r="H59" s="634"/>
      <c r="I59" s="634"/>
      <c r="J59" s="634"/>
      <c r="K59" s="634"/>
      <c r="L59" s="634"/>
      <c r="M59" s="634"/>
      <c r="N59" s="634"/>
      <c r="O59" s="634"/>
      <c r="P59" s="632"/>
      <c r="Q59" s="632"/>
      <c r="R59" s="602"/>
      <c r="S59" s="166"/>
      <c r="T59" s="162"/>
      <c r="U59" s="161" t="s">
        <v>84</v>
      </c>
      <c r="V59" s="162" t="s">
        <v>13</v>
      </c>
      <c r="W59" s="250">
        <v>4.7</v>
      </c>
      <c r="X59" s="266">
        <v>4.6</v>
      </c>
      <c r="Y59" s="252">
        <f>SUM(Z59:AH59)/9</f>
        <v>4.444444444444445</v>
      </c>
      <c r="Z59" s="253">
        <v>2.5</v>
      </c>
      <c r="AA59" s="253">
        <v>4</v>
      </c>
      <c r="AB59" s="253">
        <v>6</v>
      </c>
      <c r="AC59" s="253">
        <v>4</v>
      </c>
      <c r="AD59" s="253">
        <v>4</v>
      </c>
      <c r="AE59" s="160">
        <v>5.5</v>
      </c>
      <c r="AF59" s="253">
        <v>4.5</v>
      </c>
      <c r="AG59" s="160">
        <v>4.5</v>
      </c>
      <c r="AH59" s="253">
        <v>5</v>
      </c>
    </row>
    <row r="60" spans="1:34" s="177" customFormat="1" ht="17.25" customHeight="1">
      <c r="A60" s="636">
        <v>3</v>
      </c>
      <c r="B60" s="637" t="s">
        <v>100</v>
      </c>
      <c r="C60" s="636" t="s">
        <v>64</v>
      </c>
      <c r="D60" s="612">
        <f>D61+D63+D62</f>
        <v>261</v>
      </c>
      <c r="E60" s="618">
        <f>E61+E62+E63</f>
        <v>295</v>
      </c>
      <c r="F60" s="618">
        <f aca="true" t="shared" si="13" ref="F60:K60">F61+F62+F63</f>
        <v>175</v>
      </c>
      <c r="G60" s="618">
        <f t="shared" si="13"/>
        <v>50</v>
      </c>
      <c r="H60" s="618"/>
      <c r="I60" s="618">
        <f t="shared" si="13"/>
        <v>25</v>
      </c>
      <c r="J60" s="618">
        <f t="shared" si="13"/>
        <v>25</v>
      </c>
      <c r="K60" s="618">
        <f t="shared" si="13"/>
        <v>20</v>
      </c>
      <c r="L60" s="618"/>
      <c r="M60" s="618"/>
      <c r="N60" s="618"/>
      <c r="O60" s="618"/>
      <c r="P60" s="618"/>
      <c r="Q60" s="618"/>
      <c r="R60" s="598">
        <f t="shared" si="4"/>
        <v>113.02681992337165</v>
      </c>
      <c r="S60" s="172"/>
      <c r="T60" s="155">
        <v>3</v>
      </c>
      <c r="U60" s="154" t="s">
        <v>100</v>
      </c>
      <c r="V60" s="153" t="s">
        <v>64</v>
      </c>
      <c r="W60" s="175">
        <v>6058</v>
      </c>
      <c r="X60" s="176">
        <f>SUM(X61:X63)</f>
        <v>3904</v>
      </c>
      <c r="Y60" s="244">
        <f aca="true" t="shared" si="14" ref="Y60:Y66">SUM(Z60:AH60)</f>
        <v>3957</v>
      </c>
      <c r="Z60" s="248">
        <f>Z61+Z62+Z63</f>
        <v>280</v>
      </c>
      <c r="AA60" s="248">
        <f aca="true" t="shared" si="15" ref="AA60:AH60">AA61+AA62+AA63</f>
        <v>240</v>
      </c>
      <c r="AB60" s="248">
        <f t="shared" si="15"/>
        <v>848</v>
      </c>
      <c r="AC60" s="248">
        <f t="shared" si="15"/>
        <v>0</v>
      </c>
      <c r="AD60" s="248">
        <f t="shared" si="15"/>
        <v>744</v>
      </c>
      <c r="AE60" s="248">
        <f t="shared" si="15"/>
        <v>400</v>
      </c>
      <c r="AF60" s="248">
        <f t="shared" si="15"/>
        <v>200</v>
      </c>
      <c r="AG60" s="248">
        <f t="shared" si="15"/>
        <v>353</v>
      </c>
      <c r="AH60" s="248">
        <f t="shared" si="15"/>
        <v>892</v>
      </c>
    </row>
    <row r="61" spans="1:34" s="191" customFormat="1" ht="17.25" customHeight="1">
      <c r="A61" s="638"/>
      <c r="B61" s="644" t="s">
        <v>101</v>
      </c>
      <c r="C61" s="606" t="s">
        <v>443</v>
      </c>
      <c r="D61" s="615">
        <v>200</v>
      </c>
      <c r="E61" s="632">
        <v>120</v>
      </c>
      <c r="F61" s="632"/>
      <c r="G61" s="632">
        <v>50</v>
      </c>
      <c r="H61" s="632"/>
      <c r="I61" s="632">
        <v>25</v>
      </c>
      <c r="J61" s="632">
        <v>25</v>
      </c>
      <c r="K61" s="632">
        <v>20</v>
      </c>
      <c r="L61" s="632"/>
      <c r="M61" s="632"/>
      <c r="N61" s="632"/>
      <c r="O61" s="632"/>
      <c r="P61" s="632"/>
      <c r="Q61" s="632"/>
      <c r="R61" s="626">
        <f t="shared" si="4"/>
        <v>60</v>
      </c>
      <c r="S61" s="178"/>
      <c r="T61" s="160"/>
      <c r="U61" s="188" t="s">
        <v>101</v>
      </c>
      <c r="V61" s="162" t="s">
        <v>64</v>
      </c>
      <c r="W61" s="189">
        <v>1210</v>
      </c>
      <c r="X61" s="190">
        <v>646</v>
      </c>
      <c r="Y61" s="264">
        <f t="shared" si="14"/>
        <v>723</v>
      </c>
      <c r="Z61" s="227">
        <v>0</v>
      </c>
      <c r="AA61" s="227">
        <v>0</v>
      </c>
      <c r="AB61" s="227">
        <v>0</v>
      </c>
      <c r="AC61" s="227">
        <v>0</v>
      </c>
      <c r="AD61" s="227">
        <v>544</v>
      </c>
      <c r="AE61" s="160">
        <v>100</v>
      </c>
      <c r="AF61" s="227">
        <v>0</v>
      </c>
      <c r="AG61" s="275">
        <v>0</v>
      </c>
      <c r="AH61" s="227">
        <v>79</v>
      </c>
    </row>
    <row r="62" spans="1:34" s="191" customFormat="1" ht="17.25" customHeight="1">
      <c r="A62" s="638"/>
      <c r="B62" s="644" t="s">
        <v>102</v>
      </c>
      <c r="C62" s="606" t="s">
        <v>443</v>
      </c>
      <c r="D62" s="615">
        <v>18</v>
      </c>
      <c r="E62" s="630"/>
      <c r="F62" s="630"/>
      <c r="G62" s="630"/>
      <c r="H62" s="630"/>
      <c r="I62" s="630"/>
      <c r="J62" s="630"/>
      <c r="K62" s="630"/>
      <c r="L62" s="630"/>
      <c r="M62" s="630"/>
      <c r="N62" s="630"/>
      <c r="O62" s="630"/>
      <c r="P62" s="630"/>
      <c r="Q62" s="630"/>
      <c r="R62" s="602"/>
      <c r="S62" s="178"/>
      <c r="T62" s="160"/>
      <c r="U62" s="188" t="s">
        <v>102</v>
      </c>
      <c r="V62" s="162" t="s">
        <v>64</v>
      </c>
      <c r="W62" s="189">
        <v>3048</v>
      </c>
      <c r="X62" s="190">
        <v>1561</v>
      </c>
      <c r="Y62" s="264">
        <f t="shared" si="14"/>
        <v>1534</v>
      </c>
      <c r="Z62" s="227">
        <v>0</v>
      </c>
      <c r="AA62" s="227">
        <v>40</v>
      </c>
      <c r="AB62" s="227">
        <v>678</v>
      </c>
      <c r="AC62" s="227">
        <v>0</v>
      </c>
      <c r="AD62" s="227">
        <v>0</v>
      </c>
      <c r="AE62" s="160">
        <v>100</v>
      </c>
      <c r="AF62" s="227">
        <v>0</v>
      </c>
      <c r="AG62" s="160">
        <v>103</v>
      </c>
      <c r="AH62" s="227">
        <v>613</v>
      </c>
    </row>
    <row r="63" spans="1:34" s="191" customFormat="1" ht="17.25" customHeight="1">
      <c r="A63" s="638"/>
      <c r="B63" s="644" t="s">
        <v>103</v>
      </c>
      <c r="C63" s="606" t="s">
        <v>443</v>
      </c>
      <c r="D63" s="615">
        <v>43</v>
      </c>
      <c r="E63" s="630">
        <v>175</v>
      </c>
      <c r="F63" s="630">
        <v>175</v>
      </c>
      <c r="G63" s="630"/>
      <c r="H63" s="630"/>
      <c r="I63" s="630"/>
      <c r="J63" s="630"/>
      <c r="K63" s="630"/>
      <c r="L63" s="630"/>
      <c r="M63" s="630"/>
      <c r="N63" s="630"/>
      <c r="O63" s="630"/>
      <c r="P63" s="630"/>
      <c r="Q63" s="630"/>
      <c r="R63" s="611">
        <f t="shared" si="4"/>
        <v>406.9767441860465</v>
      </c>
      <c r="S63" s="178"/>
      <c r="T63" s="160"/>
      <c r="U63" s="188" t="s">
        <v>103</v>
      </c>
      <c r="V63" s="162" t="s">
        <v>64</v>
      </c>
      <c r="W63" s="189">
        <v>1800</v>
      </c>
      <c r="X63" s="190">
        <v>1697</v>
      </c>
      <c r="Y63" s="264">
        <f t="shared" si="14"/>
        <v>1700</v>
      </c>
      <c r="Z63" s="227">
        <v>280</v>
      </c>
      <c r="AA63" s="227">
        <v>200</v>
      </c>
      <c r="AB63" s="227">
        <v>170</v>
      </c>
      <c r="AC63" s="227">
        <v>0</v>
      </c>
      <c r="AD63" s="227">
        <v>200</v>
      </c>
      <c r="AE63" s="160">
        <v>200</v>
      </c>
      <c r="AF63" s="227">
        <v>200</v>
      </c>
      <c r="AG63" s="160">
        <v>250</v>
      </c>
      <c r="AH63" s="227">
        <v>200</v>
      </c>
    </row>
    <row r="64" spans="1:34" s="152" customFormat="1" ht="17.25" customHeight="1">
      <c r="A64" s="595" t="s">
        <v>185</v>
      </c>
      <c r="B64" s="596" t="s">
        <v>621</v>
      </c>
      <c r="C64" s="595" t="s">
        <v>443</v>
      </c>
      <c r="D64" s="603">
        <f>D65+D66</f>
        <v>1262</v>
      </c>
      <c r="E64" s="603">
        <f>E65+E66</f>
        <v>1763</v>
      </c>
      <c r="F64" s="603">
        <f>F65+F66</f>
        <v>530</v>
      </c>
      <c r="G64" s="603">
        <f aca="true" t="shared" si="16" ref="G64:Q64">G65+G66</f>
        <v>196</v>
      </c>
      <c r="H64" s="603">
        <f t="shared" si="16"/>
        <v>195</v>
      </c>
      <c r="I64" s="603">
        <f t="shared" si="16"/>
        <v>70</v>
      </c>
      <c r="J64" s="603">
        <f t="shared" si="16"/>
        <v>115</v>
      </c>
      <c r="K64" s="603">
        <f t="shared" si="16"/>
        <v>180</v>
      </c>
      <c r="L64" s="603">
        <f t="shared" si="16"/>
        <v>70</v>
      </c>
      <c r="M64" s="603">
        <f t="shared" si="16"/>
        <v>70</v>
      </c>
      <c r="N64" s="603">
        <f t="shared" si="16"/>
        <v>60</v>
      </c>
      <c r="O64" s="603">
        <f t="shared" si="16"/>
        <v>105</v>
      </c>
      <c r="P64" s="603">
        <f t="shared" si="16"/>
        <v>110</v>
      </c>
      <c r="Q64" s="603">
        <f t="shared" si="16"/>
        <v>62</v>
      </c>
      <c r="R64" s="602">
        <f t="shared" si="4"/>
        <v>139.6988906497623</v>
      </c>
      <c r="S64" s="171"/>
      <c r="T64" s="155" t="s">
        <v>185</v>
      </c>
      <c r="U64" s="154" t="s">
        <v>104</v>
      </c>
      <c r="V64" s="153" t="s">
        <v>64</v>
      </c>
      <c r="W64" s="157">
        <v>5300</v>
      </c>
      <c r="X64" s="158">
        <f>SUM(X65:X66)</f>
        <v>3135</v>
      </c>
      <c r="Y64" s="243">
        <f t="shared" si="14"/>
        <v>5722</v>
      </c>
      <c r="Z64" s="244">
        <f>Z65+Z66</f>
        <v>1774</v>
      </c>
      <c r="AA64" s="244">
        <f aca="true" t="shared" si="17" ref="AA64:AH64">AA65+AA66</f>
        <v>1082</v>
      </c>
      <c r="AB64" s="244">
        <f t="shared" si="17"/>
        <v>486</v>
      </c>
      <c r="AC64" s="244">
        <f t="shared" si="17"/>
        <v>127</v>
      </c>
      <c r="AD64" s="244">
        <f t="shared" si="17"/>
        <v>307</v>
      </c>
      <c r="AE64" s="244">
        <f t="shared" si="17"/>
        <v>337</v>
      </c>
      <c r="AF64" s="244">
        <f t="shared" si="17"/>
        <v>531</v>
      </c>
      <c r="AG64" s="244">
        <f t="shared" si="17"/>
        <v>669</v>
      </c>
      <c r="AH64" s="244">
        <f t="shared" si="17"/>
        <v>409</v>
      </c>
    </row>
    <row r="65" spans="1:144" s="152" customFormat="1" ht="17.25" customHeight="1">
      <c r="A65" s="595"/>
      <c r="B65" s="607" t="s">
        <v>105</v>
      </c>
      <c r="C65" s="606" t="s">
        <v>443</v>
      </c>
      <c r="D65" s="615">
        <v>921</v>
      </c>
      <c r="E65" s="632">
        <f>SUM(F65:Q65)</f>
        <v>1283</v>
      </c>
      <c r="F65" s="632">
        <v>110</v>
      </c>
      <c r="G65" s="632">
        <v>196</v>
      </c>
      <c r="H65" s="632">
        <v>180</v>
      </c>
      <c r="I65" s="632">
        <v>70</v>
      </c>
      <c r="J65" s="632">
        <v>115</v>
      </c>
      <c r="K65" s="632">
        <v>180</v>
      </c>
      <c r="L65" s="632">
        <v>70</v>
      </c>
      <c r="M65" s="632">
        <v>70</v>
      </c>
      <c r="N65" s="632">
        <v>60</v>
      </c>
      <c r="O65" s="632">
        <v>60</v>
      </c>
      <c r="P65" s="632">
        <v>110</v>
      </c>
      <c r="Q65" s="632">
        <v>62</v>
      </c>
      <c r="R65" s="611">
        <f t="shared" si="4"/>
        <v>139.30510314875136</v>
      </c>
      <c r="S65" s="166"/>
      <c r="T65" s="155"/>
      <c r="U65" s="161" t="s">
        <v>105</v>
      </c>
      <c r="V65" s="162" t="s">
        <v>64</v>
      </c>
      <c r="W65" s="163">
        <v>725</v>
      </c>
      <c r="X65" s="164">
        <v>636</v>
      </c>
      <c r="Y65" s="246">
        <f t="shared" si="14"/>
        <v>658</v>
      </c>
      <c r="Z65" s="276">
        <v>658</v>
      </c>
      <c r="AA65" s="275">
        <v>0</v>
      </c>
      <c r="AB65" s="275">
        <v>0</v>
      </c>
      <c r="AC65" s="275">
        <v>0</v>
      </c>
      <c r="AD65" s="275">
        <v>0</v>
      </c>
      <c r="AE65" s="275">
        <v>0</v>
      </c>
      <c r="AF65" s="275">
        <v>0</v>
      </c>
      <c r="AG65" s="275">
        <v>0</v>
      </c>
      <c r="AH65" s="275">
        <v>0</v>
      </c>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G65" s="165"/>
      <c r="CH65" s="165"/>
      <c r="CI65" s="165"/>
      <c r="CJ65" s="165"/>
      <c r="CK65" s="165"/>
      <c r="CL65" s="165"/>
      <c r="CM65" s="165"/>
      <c r="CN65" s="165"/>
      <c r="CO65" s="165"/>
      <c r="CP65" s="165"/>
      <c r="CQ65" s="165"/>
      <c r="CR65" s="165"/>
      <c r="CS65" s="165"/>
      <c r="CT65" s="165"/>
      <c r="CU65" s="165"/>
      <c r="CV65" s="165"/>
      <c r="CW65" s="165"/>
      <c r="CX65" s="165"/>
      <c r="CY65" s="165"/>
      <c r="CZ65" s="165"/>
      <c r="DA65" s="165"/>
      <c r="DB65" s="165"/>
      <c r="DC65" s="165"/>
      <c r="DD65" s="165"/>
      <c r="DE65" s="165"/>
      <c r="DF65" s="165"/>
      <c r="DG65" s="165"/>
      <c r="DH65" s="165"/>
      <c r="DI65" s="165"/>
      <c r="DJ65" s="165"/>
      <c r="DK65" s="165"/>
      <c r="DL65" s="165"/>
      <c r="DM65" s="165"/>
      <c r="DN65" s="165"/>
      <c r="DO65" s="165"/>
      <c r="DP65" s="165"/>
      <c r="DQ65" s="165"/>
      <c r="DR65" s="165"/>
      <c r="DS65" s="165"/>
      <c r="DT65" s="165"/>
      <c r="DU65" s="165"/>
      <c r="DV65" s="165"/>
      <c r="DW65" s="165"/>
      <c r="DX65" s="165"/>
      <c r="DY65" s="165"/>
      <c r="DZ65" s="165"/>
      <c r="EA65" s="165"/>
      <c r="EB65" s="165"/>
      <c r="EC65" s="165"/>
      <c r="ED65" s="165"/>
      <c r="EE65" s="165"/>
      <c r="EF65" s="165"/>
      <c r="EG65" s="165"/>
      <c r="EH65" s="165"/>
      <c r="EI65" s="165"/>
      <c r="EJ65" s="165"/>
      <c r="EK65" s="165"/>
      <c r="EL65" s="165"/>
      <c r="EM65" s="165"/>
      <c r="EN65" s="165"/>
    </row>
    <row r="66" spans="1:34" s="165" customFormat="1" ht="17.25" customHeight="1">
      <c r="A66" s="595"/>
      <c r="B66" s="607" t="s">
        <v>106</v>
      </c>
      <c r="C66" s="606" t="s">
        <v>443</v>
      </c>
      <c r="D66" s="615">
        <v>341</v>
      </c>
      <c r="E66" s="630">
        <f>F66+H66+O66</f>
        <v>480</v>
      </c>
      <c r="F66" s="630">
        <v>420</v>
      </c>
      <c r="G66" s="630"/>
      <c r="H66" s="630">
        <v>15</v>
      </c>
      <c r="I66" s="630"/>
      <c r="J66" s="630"/>
      <c r="K66" s="630"/>
      <c r="L66" s="630"/>
      <c r="M66" s="630"/>
      <c r="N66" s="630"/>
      <c r="O66" s="630">
        <v>45</v>
      </c>
      <c r="P66" s="630"/>
      <c r="Q66" s="630"/>
      <c r="R66" s="611">
        <f t="shared" si="4"/>
        <v>140.76246334310852</v>
      </c>
      <c r="S66" s="166"/>
      <c r="T66" s="155"/>
      <c r="U66" s="161" t="s">
        <v>106</v>
      </c>
      <c r="V66" s="162" t="s">
        <v>64</v>
      </c>
      <c r="W66" s="163">
        <v>4575</v>
      </c>
      <c r="X66" s="164">
        <f>3135-636</f>
        <v>2499</v>
      </c>
      <c r="Y66" s="246">
        <f t="shared" si="14"/>
        <v>5064</v>
      </c>
      <c r="Z66" s="276">
        <v>1116</v>
      </c>
      <c r="AA66" s="276">
        <v>1082</v>
      </c>
      <c r="AB66" s="276">
        <v>486</v>
      </c>
      <c r="AC66" s="276">
        <v>127</v>
      </c>
      <c r="AD66" s="176">
        <v>307</v>
      </c>
      <c r="AE66" s="160">
        <v>337</v>
      </c>
      <c r="AF66" s="276">
        <v>531</v>
      </c>
      <c r="AG66" s="160">
        <v>669</v>
      </c>
      <c r="AH66" s="276">
        <v>409</v>
      </c>
    </row>
    <row r="67" spans="1:34" s="152" customFormat="1" ht="17.25" customHeight="1">
      <c r="A67" s="595" t="s">
        <v>186</v>
      </c>
      <c r="B67" s="596" t="s">
        <v>459</v>
      </c>
      <c r="C67" s="595"/>
      <c r="D67" s="615"/>
      <c r="E67" s="608"/>
      <c r="F67" s="608"/>
      <c r="G67" s="608"/>
      <c r="H67" s="608"/>
      <c r="I67" s="608"/>
      <c r="J67" s="608"/>
      <c r="K67" s="608"/>
      <c r="L67" s="608"/>
      <c r="M67" s="608"/>
      <c r="N67" s="608"/>
      <c r="O67" s="608"/>
      <c r="P67" s="608"/>
      <c r="Q67" s="608"/>
      <c r="R67" s="602"/>
      <c r="S67" s="171"/>
      <c r="T67" s="155" t="s">
        <v>186</v>
      </c>
      <c r="U67" s="154" t="s">
        <v>107</v>
      </c>
      <c r="V67" s="153"/>
      <c r="W67" s="157"/>
      <c r="X67" s="158"/>
      <c r="Y67" s="243"/>
      <c r="Z67" s="277"/>
      <c r="AA67" s="277"/>
      <c r="AB67" s="277"/>
      <c r="AC67" s="277"/>
      <c r="AD67" s="176">
        <v>0</v>
      </c>
      <c r="AE67" s="155"/>
      <c r="AF67" s="277"/>
      <c r="AG67" s="155"/>
      <c r="AH67" s="277"/>
    </row>
    <row r="68" spans="1:34" s="152" customFormat="1" ht="17.25" customHeight="1">
      <c r="A68" s="595"/>
      <c r="B68" s="596" t="s">
        <v>460</v>
      </c>
      <c r="C68" s="645" t="s">
        <v>461</v>
      </c>
      <c r="D68" s="612">
        <v>12</v>
      </c>
      <c r="E68" s="612">
        <v>12</v>
      </c>
      <c r="F68" s="615">
        <v>1</v>
      </c>
      <c r="G68" s="615">
        <v>1</v>
      </c>
      <c r="H68" s="615">
        <v>1</v>
      </c>
      <c r="I68" s="615">
        <v>1</v>
      </c>
      <c r="J68" s="615">
        <v>1</v>
      </c>
      <c r="K68" s="615">
        <v>1</v>
      </c>
      <c r="L68" s="615">
        <v>1</v>
      </c>
      <c r="M68" s="615">
        <v>1</v>
      </c>
      <c r="N68" s="615">
        <v>1</v>
      </c>
      <c r="O68" s="615">
        <v>1</v>
      </c>
      <c r="P68" s="615">
        <v>1</v>
      </c>
      <c r="Q68" s="615">
        <v>1</v>
      </c>
      <c r="R68" s="621">
        <f t="shared" si="4"/>
        <v>100</v>
      </c>
      <c r="S68" s="171"/>
      <c r="T68" s="195"/>
      <c r="U68" s="196"/>
      <c r="V68" s="197"/>
      <c r="W68" s="198"/>
      <c r="X68" s="199"/>
      <c r="Y68" s="278"/>
      <c r="Z68" s="279"/>
      <c r="AA68" s="279"/>
      <c r="AB68" s="279"/>
      <c r="AC68" s="279"/>
      <c r="AD68" s="200"/>
      <c r="AE68" s="195"/>
      <c r="AF68" s="279"/>
      <c r="AG68" s="195"/>
      <c r="AH68" s="279"/>
    </row>
    <row r="69" spans="1:18" s="165" customFormat="1" ht="39" customHeight="1">
      <c r="A69" s="606">
        <v>1</v>
      </c>
      <c r="B69" s="646" t="s">
        <v>737</v>
      </c>
      <c r="C69" s="647" t="s">
        <v>461</v>
      </c>
      <c r="D69" s="615">
        <v>12</v>
      </c>
      <c r="E69" s="615">
        <f aca="true" t="shared" si="18" ref="E69:E77">SUM(F69:Q69)</f>
        <v>12</v>
      </c>
      <c r="F69" s="615">
        <v>1</v>
      </c>
      <c r="G69" s="615">
        <v>1</v>
      </c>
      <c r="H69" s="615">
        <v>1</v>
      </c>
      <c r="I69" s="615">
        <v>1</v>
      </c>
      <c r="J69" s="615">
        <v>1</v>
      </c>
      <c r="K69" s="615">
        <v>1</v>
      </c>
      <c r="L69" s="615">
        <v>1</v>
      </c>
      <c r="M69" s="615">
        <v>1</v>
      </c>
      <c r="N69" s="615">
        <v>1</v>
      </c>
      <c r="O69" s="615">
        <v>1</v>
      </c>
      <c r="P69" s="615">
        <v>1</v>
      </c>
      <c r="Q69" s="615">
        <v>1</v>
      </c>
      <c r="R69" s="626">
        <f t="shared" si="4"/>
        <v>100</v>
      </c>
    </row>
    <row r="70" spans="1:18" s="165" customFormat="1" ht="39" customHeight="1">
      <c r="A70" s="648" t="s">
        <v>276</v>
      </c>
      <c r="B70" s="646" t="s">
        <v>623</v>
      </c>
      <c r="C70" s="647" t="s">
        <v>461</v>
      </c>
      <c r="D70" s="615">
        <v>12</v>
      </c>
      <c r="E70" s="615">
        <f t="shared" si="18"/>
        <v>12</v>
      </c>
      <c r="F70" s="615">
        <v>1</v>
      </c>
      <c r="G70" s="615">
        <v>1</v>
      </c>
      <c r="H70" s="615">
        <v>1</v>
      </c>
      <c r="I70" s="615">
        <v>1</v>
      </c>
      <c r="J70" s="615">
        <v>1</v>
      </c>
      <c r="K70" s="615">
        <v>1</v>
      </c>
      <c r="L70" s="615">
        <v>1</v>
      </c>
      <c r="M70" s="615">
        <v>1</v>
      </c>
      <c r="N70" s="615">
        <v>1</v>
      </c>
      <c r="O70" s="615">
        <v>1</v>
      </c>
      <c r="P70" s="615">
        <v>1</v>
      </c>
      <c r="Q70" s="615">
        <v>1</v>
      </c>
      <c r="R70" s="626">
        <f t="shared" si="4"/>
        <v>100</v>
      </c>
    </row>
    <row r="71" spans="1:18" s="165" customFormat="1" ht="39" customHeight="1">
      <c r="A71" s="606">
        <v>3</v>
      </c>
      <c r="B71" s="646" t="s">
        <v>624</v>
      </c>
      <c r="C71" s="647" t="s">
        <v>461</v>
      </c>
      <c r="D71" s="615">
        <v>12</v>
      </c>
      <c r="E71" s="615">
        <f t="shared" si="18"/>
        <v>12</v>
      </c>
      <c r="F71" s="615">
        <v>1</v>
      </c>
      <c r="G71" s="615">
        <v>1</v>
      </c>
      <c r="H71" s="615">
        <v>1</v>
      </c>
      <c r="I71" s="615">
        <v>1</v>
      </c>
      <c r="J71" s="615">
        <v>1</v>
      </c>
      <c r="K71" s="615">
        <v>1</v>
      </c>
      <c r="L71" s="615">
        <v>1</v>
      </c>
      <c r="M71" s="615">
        <v>1</v>
      </c>
      <c r="N71" s="615">
        <v>1</v>
      </c>
      <c r="O71" s="615">
        <v>1</v>
      </c>
      <c r="P71" s="615">
        <v>1</v>
      </c>
      <c r="Q71" s="615">
        <v>1</v>
      </c>
      <c r="R71" s="626">
        <f t="shared" si="4"/>
        <v>100</v>
      </c>
    </row>
    <row r="72" spans="1:18" s="165" customFormat="1" ht="39" customHeight="1">
      <c r="A72" s="648" t="s">
        <v>269</v>
      </c>
      <c r="B72" s="646" t="s">
        <v>625</v>
      </c>
      <c r="C72" s="647" t="s">
        <v>461</v>
      </c>
      <c r="D72" s="615">
        <v>6</v>
      </c>
      <c r="E72" s="615">
        <f t="shared" si="18"/>
        <v>7</v>
      </c>
      <c r="F72" s="615">
        <v>1</v>
      </c>
      <c r="G72" s="615">
        <v>1</v>
      </c>
      <c r="H72" s="615">
        <v>1</v>
      </c>
      <c r="I72" s="615"/>
      <c r="J72" s="615">
        <v>1</v>
      </c>
      <c r="K72" s="615">
        <v>1</v>
      </c>
      <c r="L72" s="615">
        <v>1</v>
      </c>
      <c r="M72" s="615">
        <v>1</v>
      </c>
      <c r="N72" s="615"/>
      <c r="O72" s="615"/>
      <c r="P72" s="615"/>
      <c r="Q72" s="608"/>
      <c r="R72" s="611">
        <f t="shared" si="4"/>
        <v>116.66666666666667</v>
      </c>
    </row>
    <row r="73" spans="1:18" s="165" customFormat="1" ht="39" customHeight="1">
      <c r="A73" s="606">
        <v>5</v>
      </c>
      <c r="B73" s="646" t="s">
        <v>462</v>
      </c>
      <c r="C73" s="647" t="s">
        <v>461</v>
      </c>
      <c r="D73" s="615">
        <v>12</v>
      </c>
      <c r="E73" s="615">
        <f t="shared" si="18"/>
        <v>12</v>
      </c>
      <c r="F73" s="615">
        <v>1</v>
      </c>
      <c r="G73" s="615">
        <v>1</v>
      </c>
      <c r="H73" s="615">
        <v>1</v>
      </c>
      <c r="I73" s="615">
        <v>1</v>
      </c>
      <c r="J73" s="615">
        <v>1</v>
      </c>
      <c r="K73" s="615">
        <v>1</v>
      </c>
      <c r="L73" s="615">
        <v>1</v>
      </c>
      <c r="M73" s="615">
        <v>1</v>
      </c>
      <c r="N73" s="615">
        <v>1</v>
      </c>
      <c r="O73" s="615">
        <v>1</v>
      </c>
      <c r="P73" s="615">
        <v>1</v>
      </c>
      <c r="Q73" s="615">
        <v>1</v>
      </c>
      <c r="R73" s="626">
        <f t="shared" si="4"/>
        <v>100</v>
      </c>
    </row>
    <row r="74" spans="1:18" s="165" customFormat="1" ht="39" customHeight="1">
      <c r="A74" s="648" t="s">
        <v>291</v>
      </c>
      <c r="B74" s="646" t="s">
        <v>626</v>
      </c>
      <c r="C74" s="647" t="s">
        <v>461</v>
      </c>
      <c r="D74" s="615">
        <v>10</v>
      </c>
      <c r="E74" s="615">
        <f t="shared" si="18"/>
        <v>12</v>
      </c>
      <c r="F74" s="615">
        <v>1</v>
      </c>
      <c r="G74" s="615">
        <v>1</v>
      </c>
      <c r="H74" s="615">
        <v>1</v>
      </c>
      <c r="I74" s="615">
        <v>1</v>
      </c>
      <c r="J74" s="615">
        <v>1</v>
      </c>
      <c r="K74" s="615">
        <v>1</v>
      </c>
      <c r="L74" s="615">
        <v>1</v>
      </c>
      <c r="M74" s="615">
        <v>1</v>
      </c>
      <c r="N74" s="615">
        <v>1</v>
      </c>
      <c r="O74" s="615">
        <v>1</v>
      </c>
      <c r="P74" s="615">
        <v>1</v>
      </c>
      <c r="Q74" s="615">
        <v>1</v>
      </c>
      <c r="R74" s="626">
        <f aca="true" t="shared" si="19" ref="R74:R93">E74/D74*100</f>
        <v>120</v>
      </c>
    </row>
    <row r="75" spans="1:18" s="165" customFormat="1" ht="39" customHeight="1">
      <c r="A75" s="606">
        <v>7</v>
      </c>
      <c r="B75" s="646" t="s">
        <v>627</v>
      </c>
      <c r="C75" s="647" t="s">
        <v>461</v>
      </c>
      <c r="D75" s="615">
        <v>2</v>
      </c>
      <c r="E75" s="615">
        <f t="shared" si="18"/>
        <v>3</v>
      </c>
      <c r="F75" s="615">
        <v>1</v>
      </c>
      <c r="G75" s="615">
        <v>1</v>
      </c>
      <c r="H75" s="615"/>
      <c r="I75" s="615"/>
      <c r="J75" s="615"/>
      <c r="K75" s="615"/>
      <c r="L75" s="615"/>
      <c r="M75" s="615"/>
      <c r="N75" s="615"/>
      <c r="O75" s="615">
        <v>1</v>
      </c>
      <c r="P75" s="615"/>
      <c r="Q75" s="615"/>
      <c r="R75" s="626">
        <f t="shared" si="19"/>
        <v>150</v>
      </c>
    </row>
    <row r="76" spans="1:18" s="165" customFormat="1" ht="39" customHeight="1">
      <c r="A76" s="648" t="s">
        <v>297</v>
      </c>
      <c r="B76" s="646" t="s">
        <v>463</v>
      </c>
      <c r="C76" s="647" t="s">
        <v>461</v>
      </c>
      <c r="D76" s="615">
        <v>12</v>
      </c>
      <c r="E76" s="615">
        <f t="shared" si="18"/>
        <v>12</v>
      </c>
      <c r="F76" s="615">
        <v>1</v>
      </c>
      <c r="G76" s="615">
        <v>1</v>
      </c>
      <c r="H76" s="615">
        <v>1</v>
      </c>
      <c r="I76" s="615">
        <v>1</v>
      </c>
      <c r="J76" s="615">
        <v>1</v>
      </c>
      <c r="K76" s="615">
        <v>1</v>
      </c>
      <c r="L76" s="615">
        <v>1</v>
      </c>
      <c r="M76" s="615">
        <v>1</v>
      </c>
      <c r="N76" s="615">
        <v>1</v>
      </c>
      <c r="O76" s="615">
        <v>1</v>
      </c>
      <c r="P76" s="615">
        <v>1</v>
      </c>
      <c r="Q76" s="615">
        <v>1</v>
      </c>
      <c r="R76" s="626">
        <f t="shared" si="19"/>
        <v>100</v>
      </c>
    </row>
    <row r="77" spans="1:18" s="165" customFormat="1" ht="39" customHeight="1">
      <c r="A77" s="606">
        <v>9</v>
      </c>
      <c r="B77" s="646" t="s">
        <v>464</v>
      </c>
      <c r="C77" s="647" t="s">
        <v>461</v>
      </c>
      <c r="D77" s="615">
        <v>7</v>
      </c>
      <c r="E77" s="615">
        <f t="shared" si="18"/>
        <v>12</v>
      </c>
      <c r="F77" s="615">
        <v>1</v>
      </c>
      <c r="G77" s="615">
        <v>1</v>
      </c>
      <c r="H77" s="615">
        <v>1</v>
      </c>
      <c r="I77" s="615">
        <v>1</v>
      </c>
      <c r="J77" s="615">
        <v>1</v>
      </c>
      <c r="K77" s="615">
        <v>1</v>
      </c>
      <c r="L77" s="615">
        <v>1</v>
      </c>
      <c r="M77" s="615">
        <v>1</v>
      </c>
      <c r="N77" s="615">
        <v>1</v>
      </c>
      <c r="O77" s="615">
        <v>1</v>
      </c>
      <c r="P77" s="615">
        <v>1</v>
      </c>
      <c r="Q77" s="615">
        <v>1</v>
      </c>
      <c r="R77" s="611">
        <f t="shared" si="19"/>
        <v>171.42857142857142</v>
      </c>
    </row>
    <row r="78" spans="1:34" s="152" customFormat="1" ht="17.25" customHeight="1">
      <c r="A78" s="595" t="s">
        <v>108</v>
      </c>
      <c r="B78" s="596" t="s">
        <v>465</v>
      </c>
      <c r="C78" s="595" t="s">
        <v>110</v>
      </c>
      <c r="D78" s="612">
        <f>D79+D81+D93</f>
        <v>46</v>
      </c>
      <c r="E78" s="633">
        <f>E79+E81+E93</f>
        <v>42</v>
      </c>
      <c r="F78" s="603">
        <f aca="true" t="shared" si="20" ref="F78:Q78">F79+F81+F93</f>
        <v>6</v>
      </c>
      <c r="G78" s="603">
        <f t="shared" si="20"/>
        <v>5</v>
      </c>
      <c r="H78" s="603">
        <f t="shared" si="20"/>
        <v>3</v>
      </c>
      <c r="I78" s="603">
        <f t="shared" si="20"/>
        <v>3</v>
      </c>
      <c r="J78" s="603">
        <f t="shared" si="20"/>
        <v>5</v>
      </c>
      <c r="K78" s="603">
        <f t="shared" si="20"/>
        <v>4</v>
      </c>
      <c r="L78" s="603">
        <f t="shared" si="20"/>
        <v>3</v>
      </c>
      <c r="M78" s="603">
        <f t="shared" si="20"/>
        <v>3</v>
      </c>
      <c r="N78" s="603">
        <f t="shared" si="20"/>
        <v>2</v>
      </c>
      <c r="O78" s="603">
        <f t="shared" si="20"/>
        <v>3</v>
      </c>
      <c r="P78" s="603">
        <f t="shared" si="20"/>
        <v>3</v>
      </c>
      <c r="Q78" s="603">
        <f t="shared" si="20"/>
        <v>2</v>
      </c>
      <c r="R78" s="602">
        <f t="shared" si="19"/>
        <v>91.30434782608695</v>
      </c>
      <c r="S78" s="171"/>
      <c r="T78" s="155" t="s">
        <v>108</v>
      </c>
      <c r="U78" s="154" t="s">
        <v>109</v>
      </c>
      <c r="V78" s="153" t="s">
        <v>110</v>
      </c>
      <c r="W78" s="157" t="e">
        <f>W79+W81+W93+#REF!+W94</f>
        <v>#REF!</v>
      </c>
      <c r="X78" s="184" t="e">
        <f>X79+X81+X93+#REF!+X94</f>
        <v>#REF!</v>
      </c>
      <c r="Y78" s="185" t="e">
        <f>Y79+Y81+Y93+#REF!+Y94</f>
        <v>#REF!</v>
      </c>
      <c r="Z78" s="175" t="e">
        <f>Z79+Z81+Z93+#REF!+Z94</f>
        <v>#REF!</v>
      </c>
      <c r="AA78" s="175" t="e">
        <f>AA79+AA81+AA93+#REF!+AA94</f>
        <v>#REF!</v>
      </c>
      <c r="AB78" s="175" t="e">
        <f>AB79+AB81+AB93+#REF!+AB94</f>
        <v>#REF!</v>
      </c>
      <c r="AC78" s="175" t="e">
        <f>AC79+AC81+AC93+#REF!+AC94</f>
        <v>#REF!</v>
      </c>
      <c r="AD78" s="175" t="e">
        <f>AD79+AD81+AD93+#REF!+AD94</f>
        <v>#REF!</v>
      </c>
      <c r="AE78" s="175" t="e">
        <f>AE79+AE81+AE93+#REF!+AE94</f>
        <v>#REF!</v>
      </c>
      <c r="AF78" s="175" t="e">
        <f>AF79+AF81+AF93+#REF!+AF94</f>
        <v>#REF!</v>
      </c>
      <c r="AG78" s="175" t="e">
        <f>AG79+AG81+AG93+#REF!+AG94</f>
        <v>#REF!</v>
      </c>
      <c r="AH78" s="175" t="e">
        <f>AH79+AH81+AH93+#REF!+AH94</f>
        <v>#REF!</v>
      </c>
    </row>
    <row r="79" spans="1:34" s="152" customFormat="1" ht="17.25" customHeight="1">
      <c r="A79" s="595">
        <v>1</v>
      </c>
      <c r="B79" s="596" t="s">
        <v>111</v>
      </c>
      <c r="C79" s="595" t="s">
        <v>110</v>
      </c>
      <c r="D79" s="612">
        <v>15</v>
      </c>
      <c r="E79" s="618">
        <f>SUM(F79:Q79)</f>
        <v>14</v>
      </c>
      <c r="F79" s="618">
        <v>1</v>
      </c>
      <c r="G79" s="618">
        <v>2</v>
      </c>
      <c r="H79" s="618">
        <v>1</v>
      </c>
      <c r="I79" s="618">
        <v>1</v>
      </c>
      <c r="J79" s="618">
        <v>2</v>
      </c>
      <c r="K79" s="618">
        <v>1</v>
      </c>
      <c r="L79" s="618">
        <v>1</v>
      </c>
      <c r="M79" s="618">
        <v>1</v>
      </c>
      <c r="N79" s="618">
        <v>1</v>
      </c>
      <c r="O79" s="618">
        <v>1</v>
      </c>
      <c r="P79" s="618">
        <v>1</v>
      </c>
      <c r="Q79" s="618">
        <v>1</v>
      </c>
      <c r="R79" s="598">
        <f t="shared" si="19"/>
        <v>93.33333333333333</v>
      </c>
      <c r="S79" s="171"/>
      <c r="T79" s="192">
        <v>1</v>
      </c>
      <c r="U79" s="154" t="s">
        <v>111</v>
      </c>
      <c r="V79" s="153" t="s">
        <v>98</v>
      </c>
      <c r="W79" s="157">
        <v>145</v>
      </c>
      <c r="X79" s="158">
        <v>151</v>
      </c>
      <c r="Y79" s="243">
        <f aca="true" t="shared" si="21" ref="Y79:Y93">SUM(Z79:AH79)</f>
        <v>155</v>
      </c>
      <c r="Z79" s="248">
        <v>15</v>
      </c>
      <c r="AA79" s="248">
        <v>29</v>
      </c>
      <c r="AB79" s="248">
        <v>19</v>
      </c>
      <c r="AC79" s="248">
        <v>5</v>
      </c>
      <c r="AD79" s="176">
        <v>18</v>
      </c>
      <c r="AE79" s="155">
        <v>18</v>
      </c>
      <c r="AF79" s="248">
        <v>11</v>
      </c>
      <c r="AG79" s="155">
        <v>25</v>
      </c>
      <c r="AH79" s="248">
        <v>15</v>
      </c>
    </row>
    <row r="80" spans="1:34" s="193" customFormat="1" ht="17.25" customHeight="1">
      <c r="A80" s="606"/>
      <c r="B80" s="642" t="s">
        <v>112</v>
      </c>
      <c r="C80" s="606" t="s">
        <v>110</v>
      </c>
      <c r="D80" s="615">
        <v>4</v>
      </c>
      <c r="E80" s="632">
        <f>SUM(F80:Q80)</f>
        <v>4</v>
      </c>
      <c r="F80" s="632">
        <v>1</v>
      </c>
      <c r="G80" s="632">
        <v>2</v>
      </c>
      <c r="H80" s="632"/>
      <c r="I80" s="632"/>
      <c r="J80" s="632">
        <v>1</v>
      </c>
      <c r="K80" s="632"/>
      <c r="L80" s="632"/>
      <c r="M80" s="632"/>
      <c r="N80" s="632"/>
      <c r="O80" s="632"/>
      <c r="P80" s="632"/>
      <c r="Q80" s="632"/>
      <c r="R80" s="626">
        <f t="shared" si="19"/>
        <v>100</v>
      </c>
      <c r="S80" s="166"/>
      <c r="T80" s="180"/>
      <c r="U80" s="188" t="s">
        <v>112</v>
      </c>
      <c r="V80" s="162" t="s">
        <v>98</v>
      </c>
      <c r="W80" s="163">
        <v>24</v>
      </c>
      <c r="X80" s="164">
        <v>27</v>
      </c>
      <c r="Y80" s="246">
        <f t="shared" si="21"/>
        <v>41</v>
      </c>
      <c r="Z80" s="227">
        <v>7</v>
      </c>
      <c r="AA80" s="227">
        <v>12</v>
      </c>
      <c r="AB80" s="227">
        <v>4</v>
      </c>
      <c r="AC80" s="227">
        <v>2</v>
      </c>
      <c r="AD80" s="227">
        <v>3</v>
      </c>
      <c r="AE80" s="160">
        <v>1</v>
      </c>
      <c r="AF80" s="227">
        <v>3</v>
      </c>
      <c r="AG80" s="160">
        <v>7</v>
      </c>
      <c r="AH80" s="227">
        <v>2</v>
      </c>
    </row>
    <row r="81" spans="1:34" s="152" customFormat="1" ht="17.25" customHeight="1">
      <c r="A81" s="595">
        <v>2</v>
      </c>
      <c r="B81" s="596" t="s">
        <v>113</v>
      </c>
      <c r="C81" s="595"/>
      <c r="D81" s="612">
        <f>D85+D88+D91</f>
        <v>30</v>
      </c>
      <c r="E81" s="603">
        <f>SUM(F81:Q81)</f>
        <v>27</v>
      </c>
      <c r="F81" s="603">
        <f aca="true" t="shared" si="22" ref="F81:P81">F85+F88+F91</f>
        <v>4</v>
      </c>
      <c r="G81" s="603">
        <f t="shared" si="22"/>
        <v>3</v>
      </c>
      <c r="H81" s="603">
        <f t="shared" si="22"/>
        <v>2</v>
      </c>
      <c r="I81" s="603">
        <f t="shared" si="22"/>
        <v>2</v>
      </c>
      <c r="J81" s="603">
        <f t="shared" si="22"/>
        <v>3</v>
      </c>
      <c r="K81" s="603">
        <f t="shared" si="22"/>
        <v>3</v>
      </c>
      <c r="L81" s="603">
        <f t="shared" si="22"/>
        <v>2</v>
      </c>
      <c r="M81" s="603">
        <f t="shared" si="22"/>
        <v>2</v>
      </c>
      <c r="N81" s="603">
        <v>1</v>
      </c>
      <c r="O81" s="603">
        <f t="shared" si="22"/>
        <v>2</v>
      </c>
      <c r="P81" s="603">
        <f t="shared" si="22"/>
        <v>2</v>
      </c>
      <c r="Q81" s="603">
        <v>1</v>
      </c>
      <c r="R81" s="621">
        <f t="shared" si="19"/>
        <v>90</v>
      </c>
      <c r="S81" s="171"/>
      <c r="T81" s="155">
        <v>2</v>
      </c>
      <c r="U81" s="154" t="s">
        <v>113</v>
      </c>
      <c r="V81" s="153"/>
      <c r="W81" s="258">
        <f>W85+W88+W91</f>
        <v>314</v>
      </c>
      <c r="X81" s="259">
        <f>X85+X88+X91</f>
        <v>317</v>
      </c>
      <c r="Y81" s="243">
        <f t="shared" si="21"/>
        <v>326</v>
      </c>
      <c r="Z81" s="248">
        <f aca="true" t="shared" si="23" ref="Z81:AH81">Z85+Z88+Z91</f>
        <v>24</v>
      </c>
      <c r="AA81" s="248">
        <f t="shared" si="23"/>
        <v>62</v>
      </c>
      <c r="AB81" s="248">
        <f t="shared" si="23"/>
        <v>41</v>
      </c>
      <c r="AC81" s="248">
        <f t="shared" si="23"/>
        <v>11</v>
      </c>
      <c r="AD81" s="248">
        <f t="shared" si="23"/>
        <v>42</v>
      </c>
      <c r="AE81" s="248">
        <f t="shared" si="23"/>
        <v>42</v>
      </c>
      <c r="AF81" s="248">
        <f t="shared" si="23"/>
        <v>26</v>
      </c>
      <c r="AG81" s="248">
        <f t="shared" si="23"/>
        <v>47</v>
      </c>
      <c r="AH81" s="248">
        <f t="shared" si="23"/>
        <v>31</v>
      </c>
    </row>
    <row r="82" spans="1:34" s="165" customFormat="1" ht="17.25" customHeight="1">
      <c r="A82" s="606"/>
      <c r="B82" s="642" t="s">
        <v>434</v>
      </c>
      <c r="C82" s="606" t="s">
        <v>110</v>
      </c>
      <c r="D82" s="615">
        <v>1</v>
      </c>
      <c r="E82" s="608">
        <v>1</v>
      </c>
      <c r="F82" s="608">
        <v>1</v>
      </c>
      <c r="G82" s="608"/>
      <c r="H82" s="608"/>
      <c r="I82" s="608"/>
      <c r="J82" s="608"/>
      <c r="K82" s="608"/>
      <c r="L82" s="608"/>
      <c r="M82" s="608"/>
      <c r="N82" s="608"/>
      <c r="O82" s="608"/>
      <c r="P82" s="608"/>
      <c r="Q82" s="608"/>
      <c r="R82" s="626">
        <f t="shared" si="19"/>
        <v>100</v>
      </c>
      <c r="S82" s="166"/>
      <c r="T82" s="160"/>
      <c r="U82" s="188" t="s">
        <v>435</v>
      </c>
      <c r="V82" s="162" t="s">
        <v>98</v>
      </c>
      <c r="W82" s="163">
        <v>8</v>
      </c>
      <c r="X82" s="164">
        <v>8</v>
      </c>
      <c r="Y82" s="243">
        <f t="shared" si="21"/>
        <v>8</v>
      </c>
      <c r="Z82" s="227">
        <v>1</v>
      </c>
      <c r="AA82" s="227">
        <v>1</v>
      </c>
      <c r="AB82" s="227">
        <v>1</v>
      </c>
      <c r="AC82" s="227">
        <v>0</v>
      </c>
      <c r="AD82" s="227">
        <v>1</v>
      </c>
      <c r="AE82" s="227">
        <v>1</v>
      </c>
      <c r="AF82" s="227">
        <v>1</v>
      </c>
      <c r="AG82" s="227">
        <v>1</v>
      </c>
      <c r="AH82" s="227">
        <v>1</v>
      </c>
    </row>
    <row r="83" spans="1:34" s="193" customFormat="1" ht="17.25" customHeight="1">
      <c r="A83" s="606"/>
      <c r="B83" s="646" t="s">
        <v>177</v>
      </c>
      <c r="C83" s="606" t="s">
        <v>110</v>
      </c>
      <c r="D83" s="615">
        <v>13</v>
      </c>
      <c r="E83" s="608">
        <f aca="true" t="shared" si="24" ref="E83:E91">SUM(F83:Q83)</f>
        <v>14</v>
      </c>
      <c r="F83" s="608">
        <f aca="true" t="shared" si="25" ref="F83:Q83">F86+F89+F92</f>
        <v>4</v>
      </c>
      <c r="G83" s="608">
        <f t="shared" si="25"/>
        <v>3</v>
      </c>
      <c r="H83" s="608">
        <f t="shared" si="25"/>
        <v>0</v>
      </c>
      <c r="I83" s="608">
        <f t="shared" si="25"/>
        <v>1</v>
      </c>
      <c r="J83" s="608">
        <f t="shared" si="25"/>
        <v>2</v>
      </c>
      <c r="K83" s="608">
        <f t="shared" si="25"/>
        <v>1</v>
      </c>
      <c r="L83" s="608">
        <f t="shared" si="25"/>
        <v>1</v>
      </c>
      <c r="M83" s="608">
        <f t="shared" si="25"/>
        <v>0</v>
      </c>
      <c r="N83" s="608">
        <f t="shared" si="25"/>
        <v>0</v>
      </c>
      <c r="O83" s="608">
        <f t="shared" si="25"/>
        <v>1</v>
      </c>
      <c r="P83" s="608">
        <f t="shared" si="25"/>
        <v>1</v>
      </c>
      <c r="Q83" s="608">
        <f t="shared" si="25"/>
        <v>0</v>
      </c>
      <c r="R83" s="611">
        <f t="shared" si="19"/>
        <v>107.6923076923077</v>
      </c>
      <c r="S83" s="166"/>
      <c r="T83" s="160"/>
      <c r="U83" s="280" t="s">
        <v>436</v>
      </c>
      <c r="V83" s="162" t="s">
        <v>98</v>
      </c>
      <c r="W83" s="273">
        <f>W86+W89+W92</f>
        <v>72</v>
      </c>
      <c r="X83" s="274">
        <f>X86+X89+X92</f>
        <v>75</v>
      </c>
      <c r="Y83" s="246">
        <f t="shared" si="21"/>
        <v>100</v>
      </c>
      <c r="Z83" s="227">
        <f aca="true" t="shared" si="26" ref="Z83:AH83">Z86+Z89+Z92</f>
        <v>16</v>
      </c>
      <c r="AA83" s="227">
        <f t="shared" si="26"/>
        <v>45</v>
      </c>
      <c r="AB83" s="227">
        <f t="shared" si="26"/>
        <v>4</v>
      </c>
      <c r="AC83" s="227">
        <f t="shared" si="26"/>
        <v>2</v>
      </c>
      <c r="AD83" s="227">
        <f t="shared" si="26"/>
        <v>9</v>
      </c>
      <c r="AE83" s="227">
        <f t="shared" si="26"/>
        <v>1</v>
      </c>
      <c r="AF83" s="227">
        <f t="shared" si="26"/>
        <v>7</v>
      </c>
      <c r="AG83" s="227">
        <f t="shared" si="26"/>
        <v>13</v>
      </c>
      <c r="AH83" s="227">
        <f t="shared" si="26"/>
        <v>3</v>
      </c>
    </row>
    <row r="84" spans="1:34" s="193" customFormat="1" ht="17.25" customHeight="1">
      <c r="A84" s="649"/>
      <c r="B84" s="646" t="s">
        <v>178</v>
      </c>
      <c r="C84" s="606" t="s">
        <v>110</v>
      </c>
      <c r="D84" s="615">
        <v>18</v>
      </c>
      <c r="E84" s="608">
        <f t="shared" si="24"/>
        <v>18</v>
      </c>
      <c r="F84" s="608">
        <f>F87+F90</f>
        <v>0</v>
      </c>
      <c r="G84" s="608">
        <f aca="true" t="shared" si="27" ref="G84:Q84">G87+G90</f>
        <v>2</v>
      </c>
      <c r="H84" s="608">
        <f t="shared" si="27"/>
        <v>1</v>
      </c>
      <c r="I84" s="608">
        <f t="shared" si="27"/>
        <v>2</v>
      </c>
      <c r="J84" s="608">
        <f t="shared" si="27"/>
        <v>2</v>
      </c>
      <c r="K84" s="608">
        <f t="shared" si="27"/>
        <v>2</v>
      </c>
      <c r="L84" s="608">
        <f t="shared" si="27"/>
        <v>2</v>
      </c>
      <c r="M84" s="608">
        <f t="shared" si="27"/>
        <v>2</v>
      </c>
      <c r="N84" s="608">
        <f t="shared" si="27"/>
        <v>1</v>
      </c>
      <c r="O84" s="608">
        <f t="shared" si="27"/>
        <v>1</v>
      </c>
      <c r="P84" s="608">
        <f t="shared" si="27"/>
        <v>2</v>
      </c>
      <c r="Q84" s="608">
        <f t="shared" si="27"/>
        <v>1</v>
      </c>
      <c r="R84" s="626">
        <f t="shared" si="19"/>
        <v>100</v>
      </c>
      <c r="S84" s="166"/>
      <c r="T84" s="160"/>
      <c r="U84" s="280"/>
      <c r="V84" s="162"/>
      <c r="W84" s="273"/>
      <c r="X84" s="274"/>
      <c r="Y84" s="246"/>
      <c r="Z84" s="227"/>
      <c r="AA84" s="227"/>
      <c r="AB84" s="227"/>
      <c r="AC84" s="227"/>
      <c r="AD84" s="227"/>
      <c r="AE84" s="227"/>
      <c r="AF84" s="227"/>
      <c r="AG84" s="227"/>
      <c r="AH84" s="227"/>
    </row>
    <row r="85" spans="1:34" s="152" customFormat="1" ht="17.25" customHeight="1">
      <c r="A85" s="595" t="s">
        <v>114</v>
      </c>
      <c r="B85" s="596" t="s">
        <v>115</v>
      </c>
      <c r="C85" s="595" t="s">
        <v>110</v>
      </c>
      <c r="D85" s="612">
        <v>16</v>
      </c>
      <c r="E85" s="601">
        <f t="shared" si="24"/>
        <v>13</v>
      </c>
      <c r="F85" s="601">
        <v>1</v>
      </c>
      <c r="G85" s="601">
        <v>2</v>
      </c>
      <c r="H85" s="601">
        <v>1</v>
      </c>
      <c r="I85" s="601">
        <v>1</v>
      </c>
      <c r="J85" s="601">
        <v>2</v>
      </c>
      <c r="K85" s="601">
        <v>2</v>
      </c>
      <c r="L85" s="601">
        <v>1</v>
      </c>
      <c r="M85" s="601">
        <v>1</v>
      </c>
      <c r="N85" s="601"/>
      <c r="O85" s="601">
        <v>1</v>
      </c>
      <c r="P85" s="601">
        <v>1</v>
      </c>
      <c r="Q85" s="601"/>
      <c r="R85" s="598">
        <f t="shared" si="19"/>
        <v>81.25</v>
      </c>
      <c r="S85" s="171"/>
      <c r="T85" s="192"/>
      <c r="U85" s="154" t="s">
        <v>437</v>
      </c>
      <c r="V85" s="153" t="s">
        <v>110</v>
      </c>
      <c r="W85" s="157">
        <v>170</v>
      </c>
      <c r="X85" s="158">
        <v>173</v>
      </c>
      <c r="Y85" s="243">
        <f t="shared" si="21"/>
        <v>178</v>
      </c>
      <c r="Z85" s="248">
        <v>10</v>
      </c>
      <c r="AA85" s="248">
        <v>37</v>
      </c>
      <c r="AB85" s="248">
        <v>23</v>
      </c>
      <c r="AC85" s="248">
        <v>5</v>
      </c>
      <c r="AD85" s="248">
        <v>22</v>
      </c>
      <c r="AE85" s="155">
        <v>24</v>
      </c>
      <c r="AF85" s="248">
        <v>13</v>
      </c>
      <c r="AG85" s="155">
        <v>28</v>
      </c>
      <c r="AH85" s="248">
        <v>16</v>
      </c>
    </row>
    <row r="86" spans="1:34" s="193" customFormat="1" ht="17.25" customHeight="1">
      <c r="A86" s="606"/>
      <c r="B86" s="642" t="s">
        <v>112</v>
      </c>
      <c r="C86" s="606" t="s">
        <v>110</v>
      </c>
      <c r="D86" s="615">
        <v>4</v>
      </c>
      <c r="E86" s="632">
        <f t="shared" si="24"/>
        <v>4</v>
      </c>
      <c r="F86" s="632">
        <v>1</v>
      </c>
      <c r="G86" s="632">
        <v>2</v>
      </c>
      <c r="H86" s="632"/>
      <c r="I86" s="632"/>
      <c r="J86" s="632">
        <v>1</v>
      </c>
      <c r="K86" s="632"/>
      <c r="L86" s="632"/>
      <c r="M86" s="632"/>
      <c r="N86" s="632"/>
      <c r="O86" s="632"/>
      <c r="P86" s="632"/>
      <c r="Q86" s="632"/>
      <c r="R86" s="626">
        <f t="shared" si="19"/>
        <v>100</v>
      </c>
      <c r="S86" s="166"/>
      <c r="T86" s="180"/>
      <c r="U86" s="188" t="s">
        <v>438</v>
      </c>
      <c r="V86" s="162" t="s">
        <v>98</v>
      </c>
      <c r="W86" s="163">
        <v>51</v>
      </c>
      <c r="X86" s="164">
        <v>51</v>
      </c>
      <c r="Y86" s="243">
        <f t="shared" si="21"/>
        <v>63</v>
      </c>
      <c r="Z86" s="227">
        <v>7</v>
      </c>
      <c r="AA86" s="227">
        <v>30</v>
      </c>
      <c r="AB86" s="227">
        <v>2</v>
      </c>
      <c r="AC86" s="227">
        <v>1</v>
      </c>
      <c r="AD86" s="227">
        <v>5</v>
      </c>
      <c r="AE86" s="160">
        <v>1</v>
      </c>
      <c r="AF86" s="227">
        <v>5</v>
      </c>
      <c r="AG86" s="160">
        <v>10</v>
      </c>
      <c r="AH86" s="227">
        <v>2</v>
      </c>
    </row>
    <row r="87" spans="1:34" s="193" customFormat="1" ht="17.25" customHeight="1">
      <c r="A87" s="650"/>
      <c r="B87" s="651" t="s">
        <v>116</v>
      </c>
      <c r="C87" s="606" t="s">
        <v>110</v>
      </c>
      <c r="D87" s="615">
        <v>11</v>
      </c>
      <c r="E87" s="632">
        <f>SUM(F87:Q87)</f>
        <v>10</v>
      </c>
      <c r="F87" s="632"/>
      <c r="G87" s="632">
        <v>2</v>
      </c>
      <c r="H87" s="632">
        <v>1</v>
      </c>
      <c r="I87" s="632">
        <v>1</v>
      </c>
      <c r="J87" s="632">
        <v>1</v>
      </c>
      <c r="K87" s="632">
        <v>1</v>
      </c>
      <c r="L87" s="632">
        <v>1</v>
      </c>
      <c r="M87" s="632">
        <v>1</v>
      </c>
      <c r="N87" s="632"/>
      <c r="O87" s="632">
        <v>1</v>
      </c>
      <c r="P87" s="632">
        <v>1</v>
      </c>
      <c r="Q87" s="632"/>
      <c r="R87" s="611">
        <f t="shared" si="19"/>
        <v>90.9090909090909</v>
      </c>
      <c r="S87" s="166"/>
      <c r="T87" s="180"/>
      <c r="U87" s="188"/>
      <c r="V87" s="162"/>
      <c r="W87" s="163"/>
      <c r="X87" s="164"/>
      <c r="Y87" s="243"/>
      <c r="Z87" s="227"/>
      <c r="AA87" s="227"/>
      <c r="AB87" s="227"/>
      <c r="AC87" s="227"/>
      <c r="AD87" s="227"/>
      <c r="AE87" s="160"/>
      <c r="AF87" s="227"/>
      <c r="AG87" s="160"/>
      <c r="AH87" s="227"/>
    </row>
    <row r="88" spans="1:34" s="152" customFormat="1" ht="17.25" customHeight="1">
      <c r="A88" s="595" t="s">
        <v>117</v>
      </c>
      <c r="B88" s="596" t="s">
        <v>118</v>
      </c>
      <c r="C88" s="606" t="s">
        <v>110</v>
      </c>
      <c r="D88" s="612">
        <v>10</v>
      </c>
      <c r="E88" s="603">
        <f t="shared" si="24"/>
        <v>10</v>
      </c>
      <c r="F88" s="603">
        <v>1</v>
      </c>
      <c r="G88" s="603">
        <v>1</v>
      </c>
      <c r="H88" s="603"/>
      <c r="I88" s="603">
        <v>1</v>
      </c>
      <c r="J88" s="603">
        <v>1</v>
      </c>
      <c r="K88" s="603">
        <v>1</v>
      </c>
      <c r="L88" s="603">
        <v>1</v>
      </c>
      <c r="M88" s="603">
        <v>1</v>
      </c>
      <c r="N88" s="603">
        <v>1</v>
      </c>
      <c r="O88" s="603"/>
      <c r="P88" s="603">
        <v>1</v>
      </c>
      <c r="Q88" s="603">
        <v>1</v>
      </c>
      <c r="R88" s="621">
        <f t="shared" si="19"/>
        <v>100</v>
      </c>
      <c r="S88" s="171"/>
      <c r="T88" s="192"/>
      <c r="U88" s="154" t="s">
        <v>439</v>
      </c>
      <c r="V88" s="153" t="s">
        <v>98</v>
      </c>
      <c r="W88" s="157">
        <v>115</v>
      </c>
      <c r="X88" s="158">
        <v>115</v>
      </c>
      <c r="Y88" s="243">
        <f t="shared" si="21"/>
        <v>119</v>
      </c>
      <c r="Z88" s="248">
        <v>9</v>
      </c>
      <c r="AA88" s="248">
        <v>19</v>
      </c>
      <c r="AB88" s="248">
        <v>15</v>
      </c>
      <c r="AC88" s="248">
        <v>5</v>
      </c>
      <c r="AD88" s="248">
        <v>18</v>
      </c>
      <c r="AE88" s="155">
        <v>15</v>
      </c>
      <c r="AF88" s="248">
        <v>10</v>
      </c>
      <c r="AG88" s="155">
        <v>16</v>
      </c>
      <c r="AH88" s="248">
        <v>12</v>
      </c>
    </row>
    <row r="89" spans="1:34" s="194" customFormat="1" ht="17.25" customHeight="1">
      <c r="A89" s="606"/>
      <c r="B89" s="642" t="s">
        <v>119</v>
      </c>
      <c r="C89" s="606" t="s">
        <v>110</v>
      </c>
      <c r="D89" s="615">
        <v>6</v>
      </c>
      <c r="E89" s="632">
        <f t="shared" si="24"/>
        <v>7</v>
      </c>
      <c r="F89" s="632">
        <v>1</v>
      </c>
      <c r="G89" s="632">
        <v>1</v>
      </c>
      <c r="H89" s="632"/>
      <c r="I89" s="632">
        <v>1</v>
      </c>
      <c r="J89" s="632">
        <v>1</v>
      </c>
      <c r="K89" s="632">
        <v>1</v>
      </c>
      <c r="L89" s="632">
        <v>1</v>
      </c>
      <c r="M89" s="632"/>
      <c r="N89" s="632"/>
      <c r="O89" s="632"/>
      <c r="P89" s="632">
        <v>1</v>
      </c>
      <c r="Q89" s="632"/>
      <c r="R89" s="611">
        <f t="shared" si="19"/>
        <v>116.66666666666667</v>
      </c>
      <c r="S89" s="166"/>
      <c r="T89" s="180"/>
      <c r="U89" s="188" t="s">
        <v>440</v>
      </c>
      <c r="V89" s="162" t="s">
        <v>98</v>
      </c>
      <c r="W89" s="163">
        <v>20</v>
      </c>
      <c r="X89" s="164">
        <v>22</v>
      </c>
      <c r="Y89" s="246">
        <f t="shared" si="21"/>
        <v>34</v>
      </c>
      <c r="Z89" s="227">
        <v>6</v>
      </c>
      <c r="AA89" s="227">
        <v>15</v>
      </c>
      <c r="AB89" s="281">
        <v>2</v>
      </c>
      <c r="AC89" s="281">
        <v>1</v>
      </c>
      <c r="AD89" s="227">
        <v>4</v>
      </c>
      <c r="AE89" s="275">
        <v>0</v>
      </c>
      <c r="AF89" s="227">
        <v>2</v>
      </c>
      <c r="AG89" s="160">
        <v>3</v>
      </c>
      <c r="AH89" s="227">
        <v>1</v>
      </c>
    </row>
    <row r="90" spans="1:34" s="194" customFormat="1" ht="17.25" customHeight="1">
      <c r="A90" s="606"/>
      <c r="B90" s="651" t="s">
        <v>116</v>
      </c>
      <c r="C90" s="606" t="s">
        <v>110</v>
      </c>
      <c r="D90" s="615">
        <v>7</v>
      </c>
      <c r="E90" s="608">
        <f t="shared" si="24"/>
        <v>8</v>
      </c>
      <c r="F90" s="608"/>
      <c r="G90" s="608"/>
      <c r="H90" s="608"/>
      <c r="I90" s="608">
        <v>1</v>
      </c>
      <c r="J90" s="608">
        <v>1</v>
      </c>
      <c r="K90" s="608">
        <v>1</v>
      </c>
      <c r="L90" s="608">
        <v>1</v>
      </c>
      <c r="M90" s="608">
        <v>1</v>
      </c>
      <c r="N90" s="608">
        <v>1</v>
      </c>
      <c r="O90" s="608"/>
      <c r="P90" s="608">
        <v>1</v>
      </c>
      <c r="Q90" s="608">
        <v>1</v>
      </c>
      <c r="R90" s="611">
        <f t="shared" si="19"/>
        <v>114.28571428571428</v>
      </c>
      <c r="S90" s="166"/>
      <c r="T90" s="180"/>
      <c r="U90" s="188"/>
      <c r="V90" s="162"/>
      <c r="W90" s="163"/>
      <c r="X90" s="164"/>
      <c r="Y90" s="246"/>
      <c r="Z90" s="227"/>
      <c r="AA90" s="227"/>
      <c r="AB90" s="281"/>
      <c r="AC90" s="281"/>
      <c r="AD90" s="227"/>
      <c r="AE90" s="275"/>
      <c r="AF90" s="227"/>
      <c r="AG90" s="160"/>
      <c r="AH90" s="227"/>
    </row>
    <row r="91" spans="1:34" s="152" customFormat="1" ht="17.25" customHeight="1">
      <c r="A91" s="595" t="s">
        <v>120</v>
      </c>
      <c r="B91" s="596" t="s">
        <v>121</v>
      </c>
      <c r="C91" s="595" t="s">
        <v>110</v>
      </c>
      <c r="D91" s="612">
        <v>4</v>
      </c>
      <c r="E91" s="603">
        <f t="shared" si="24"/>
        <v>4</v>
      </c>
      <c r="F91" s="603">
        <v>2</v>
      </c>
      <c r="G91" s="603"/>
      <c r="H91" s="603">
        <v>1</v>
      </c>
      <c r="I91" s="603"/>
      <c r="J91" s="603"/>
      <c r="K91" s="603"/>
      <c r="L91" s="603"/>
      <c r="M91" s="603"/>
      <c r="N91" s="603"/>
      <c r="O91" s="603">
        <v>1</v>
      </c>
      <c r="P91" s="603"/>
      <c r="Q91" s="603"/>
      <c r="R91" s="621">
        <f t="shared" si="19"/>
        <v>100</v>
      </c>
      <c r="S91" s="171"/>
      <c r="T91" s="192"/>
      <c r="U91" s="154" t="s">
        <v>441</v>
      </c>
      <c r="V91" s="153" t="s">
        <v>98</v>
      </c>
      <c r="W91" s="157">
        <v>29</v>
      </c>
      <c r="X91" s="158">
        <v>29</v>
      </c>
      <c r="Y91" s="243">
        <f t="shared" si="21"/>
        <v>29</v>
      </c>
      <c r="Z91" s="248">
        <v>5</v>
      </c>
      <c r="AA91" s="248">
        <v>6</v>
      </c>
      <c r="AB91" s="248">
        <v>3</v>
      </c>
      <c r="AC91" s="248">
        <v>1</v>
      </c>
      <c r="AD91" s="248">
        <v>2</v>
      </c>
      <c r="AE91" s="155">
        <v>3</v>
      </c>
      <c r="AF91" s="248">
        <v>3</v>
      </c>
      <c r="AG91" s="155">
        <v>3</v>
      </c>
      <c r="AH91" s="248">
        <v>3</v>
      </c>
    </row>
    <row r="92" spans="1:34" s="194" customFormat="1" ht="17.25" customHeight="1">
      <c r="A92" s="606"/>
      <c r="B92" s="642" t="s">
        <v>122</v>
      </c>
      <c r="C92" s="606" t="s">
        <v>110</v>
      </c>
      <c r="D92" s="615">
        <v>3</v>
      </c>
      <c r="E92" s="608">
        <f>SUM(F92:P92)</f>
        <v>3</v>
      </c>
      <c r="F92" s="608">
        <v>2</v>
      </c>
      <c r="G92" s="608"/>
      <c r="H92" s="608"/>
      <c r="I92" s="608"/>
      <c r="J92" s="608"/>
      <c r="K92" s="608"/>
      <c r="L92" s="608"/>
      <c r="M92" s="608"/>
      <c r="N92" s="608"/>
      <c r="O92" s="608">
        <v>1</v>
      </c>
      <c r="P92" s="608"/>
      <c r="Q92" s="608"/>
      <c r="R92" s="626">
        <f t="shared" si="19"/>
        <v>100</v>
      </c>
      <c r="S92" s="166"/>
      <c r="T92" s="180"/>
      <c r="U92" s="188" t="s">
        <v>440</v>
      </c>
      <c r="V92" s="162" t="s">
        <v>98</v>
      </c>
      <c r="W92" s="163">
        <v>1</v>
      </c>
      <c r="X92" s="164">
        <v>2</v>
      </c>
      <c r="Y92" s="246">
        <f t="shared" si="21"/>
        <v>3</v>
      </c>
      <c r="Z92" s="227">
        <v>3</v>
      </c>
      <c r="AA92" s="227">
        <v>0</v>
      </c>
      <c r="AB92" s="227">
        <v>0</v>
      </c>
      <c r="AC92" s="227">
        <v>0</v>
      </c>
      <c r="AD92" s="227">
        <v>0</v>
      </c>
      <c r="AE92" s="227">
        <v>0</v>
      </c>
      <c r="AF92" s="227">
        <v>0</v>
      </c>
      <c r="AG92" s="227">
        <v>0</v>
      </c>
      <c r="AH92" s="227">
        <v>0</v>
      </c>
    </row>
    <row r="93" spans="1:34" s="152" customFormat="1" ht="39" customHeight="1">
      <c r="A93" s="595">
        <v>3</v>
      </c>
      <c r="B93" s="596" t="s">
        <v>444</v>
      </c>
      <c r="C93" s="645" t="s">
        <v>445</v>
      </c>
      <c r="D93" s="612">
        <v>1</v>
      </c>
      <c r="E93" s="601">
        <f>F93</f>
        <v>1</v>
      </c>
      <c r="F93" s="601">
        <v>1</v>
      </c>
      <c r="G93" s="601"/>
      <c r="H93" s="601"/>
      <c r="I93" s="601"/>
      <c r="J93" s="601"/>
      <c r="K93" s="601"/>
      <c r="L93" s="601"/>
      <c r="M93" s="601"/>
      <c r="N93" s="601"/>
      <c r="O93" s="601"/>
      <c r="P93" s="601"/>
      <c r="Q93" s="601"/>
      <c r="R93" s="621">
        <f t="shared" si="19"/>
        <v>100</v>
      </c>
      <c r="S93" s="171"/>
      <c r="T93" s="282">
        <v>3</v>
      </c>
      <c r="U93" s="283" t="s">
        <v>123</v>
      </c>
      <c r="V93" s="153" t="s">
        <v>98</v>
      </c>
      <c r="W93" s="284">
        <v>8</v>
      </c>
      <c r="X93" s="285">
        <v>8</v>
      </c>
      <c r="Y93" s="243">
        <f t="shared" si="21"/>
        <v>8</v>
      </c>
      <c r="Z93" s="286">
        <v>1</v>
      </c>
      <c r="AA93" s="286">
        <v>1</v>
      </c>
      <c r="AB93" s="286">
        <v>1</v>
      </c>
      <c r="AC93" s="286">
        <v>0</v>
      </c>
      <c r="AD93" s="286">
        <v>1</v>
      </c>
      <c r="AE93" s="286">
        <v>1</v>
      </c>
      <c r="AF93" s="286">
        <v>1</v>
      </c>
      <c r="AG93" s="286">
        <v>1</v>
      </c>
      <c r="AH93" s="286">
        <v>1</v>
      </c>
    </row>
    <row r="94" spans="1:34" s="33" customFormat="1" ht="17.25" customHeight="1">
      <c r="A94" s="595" t="s">
        <v>144</v>
      </c>
      <c r="B94" s="596" t="s">
        <v>466</v>
      </c>
      <c r="C94" s="645"/>
      <c r="D94" s="612"/>
      <c r="E94" s="601"/>
      <c r="F94" s="601"/>
      <c r="G94" s="601"/>
      <c r="H94" s="601"/>
      <c r="I94" s="601"/>
      <c r="J94" s="601"/>
      <c r="K94" s="601"/>
      <c r="L94" s="601"/>
      <c r="M94" s="601"/>
      <c r="N94" s="601"/>
      <c r="O94" s="601"/>
      <c r="P94" s="601"/>
      <c r="Q94" s="601"/>
      <c r="R94" s="602"/>
      <c r="S94" s="34"/>
      <c r="T94" s="287"/>
      <c r="U94" s="288"/>
      <c r="V94" s="32"/>
      <c r="W94" s="289"/>
      <c r="X94" s="290"/>
      <c r="Y94" s="291"/>
      <c r="Z94" s="292"/>
      <c r="AA94" s="292"/>
      <c r="AB94" s="292"/>
      <c r="AC94" s="292"/>
      <c r="AD94" s="292"/>
      <c r="AE94" s="292"/>
      <c r="AF94" s="292"/>
      <c r="AG94" s="292"/>
      <c r="AH94" s="292"/>
    </row>
    <row r="95" spans="1:34" s="261" customFormat="1" ht="47.25">
      <c r="A95" s="606"/>
      <c r="B95" s="607" t="s">
        <v>736</v>
      </c>
      <c r="C95" s="647" t="s">
        <v>150</v>
      </c>
      <c r="D95" s="615">
        <v>20</v>
      </c>
      <c r="E95" s="632">
        <v>20</v>
      </c>
      <c r="F95" s="632"/>
      <c r="G95" s="632"/>
      <c r="H95" s="632"/>
      <c r="I95" s="632"/>
      <c r="J95" s="632"/>
      <c r="K95" s="632"/>
      <c r="L95" s="632"/>
      <c r="M95" s="609">
        <v>7</v>
      </c>
      <c r="N95" s="632"/>
      <c r="O95" s="609">
        <v>5</v>
      </c>
      <c r="P95" s="609">
        <v>8</v>
      </c>
      <c r="Q95" s="632"/>
      <c r="R95" s="626">
        <f aca="true" t="shared" si="28" ref="R95:R100">E95/D95*100</f>
        <v>100</v>
      </c>
      <c r="T95" s="458"/>
      <c r="U95" s="459"/>
      <c r="V95" s="460"/>
      <c r="W95" s="461"/>
      <c r="X95" s="462"/>
      <c r="Y95" s="463"/>
      <c r="Z95" s="464"/>
      <c r="AA95" s="464"/>
      <c r="AB95" s="464"/>
      <c r="AC95" s="464"/>
      <c r="AD95" s="464"/>
      <c r="AE95" s="464"/>
      <c r="AF95" s="464"/>
      <c r="AG95" s="464"/>
      <c r="AH95" s="464"/>
    </row>
    <row r="96" spans="1:34" s="261" customFormat="1" ht="17.25" customHeight="1">
      <c r="A96" s="606"/>
      <c r="B96" s="607" t="s">
        <v>467</v>
      </c>
      <c r="C96" s="647" t="s">
        <v>150</v>
      </c>
      <c r="D96" s="615">
        <v>5</v>
      </c>
      <c r="E96" s="632">
        <v>5</v>
      </c>
      <c r="F96" s="632"/>
      <c r="G96" s="632"/>
      <c r="H96" s="632"/>
      <c r="I96" s="632"/>
      <c r="J96" s="632"/>
      <c r="K96" s="632"/>
      <c r="L96" s="632"/>
      <c r="M96" s="609">
        <v>2</v>
      </c>
      <c r="N96" s="632"/>
      <c r="O96" s="609">
        <v>1</v>
      </c>
      <c r="P96" s="609">
        <v>2</v>
      </c>
      <c r="Q96" s="632"/>
      <c r="R96" s="626">
        <f t="shared" si="28"/>
        <v>100</v>
      </c>
      <c r="T96" s="465"/>
      <c r="U96" s="466"/>
      <c r="V96" s="460"/>
      <c r="W96" s="467"/>
      <c r="X96" s="468"/>
      <c r="Y96" s="463"/>
      <c r="Z96" s="469"/>
      <c r="AA96" s="469"/>
      <c r="AB96" s="469"/>
      <c r="AC96" s="469"/>
      <c r="AD96" s="469"/>
      <c r="AE96" s="469"/>
      <c r="AF96" s="469"/>
      <c r="AG96" s="469"/>
      <c r="AH96" s="469"/>
    </row>
    <row r="97" spans="1:34" s="261" customFormat="1" ht="39" customHeight="1">
      <c r="A97" s="606"/>
      <c r="B97" s="607" t="s">
        <v>468</v>
      </c>
      <c r="C97" s="647" t="s">
        <v>473</v>
      </c>
      <c r="D97" s="615">
        <v>21</v>
      </c>
      <c r="E97" s="632">
        <v>26</v>
      </c>
      <c r="F97" s="632"/>
      <c r="G97" s="632"/>
      <c r="H97" s="632"/>
      <c r="I97" s="632"/>
      <c r="J97" s="632"/>
      <c r="K97" s="632"/>
      <c r="L97" s="632"/>
      <c r="M97" s="609">
        <v>7</v>
      </c>
      <c r="N97" s="632"/>
      <c r="O97" s="609">
        <v>6</v>
      </c>
      <c r="P97" s="609">
        <v>13</v>
      </c>
      <c r="Q97" s="632"/>
      <c r="R97" s="626">
        <f t="shared" si="28"/>
        <v>123.80952380952381</v>
      </c>
      <c r="T97" s="465"/>
      <c r="U97" s="466"/>
      <c r="V97" s="460"/>
      <c r="W97" s="467"/>
      <c r="X97" s="468"/>
      <c r="Y97" s="463"/>
      <c r="Z97" s="469"/>
      <c r="AA97" s="469"/>
      <c r="AB97" s="469"/>
      <c r="AC97" s="469"/>
      <c r="AD97" s="469"/>
      <c r="AE97" s="469"/>
      <c r="AF97" s="469"/>
      <c r="AG97" s="469"/>
      <c r="AH97" s="469"/>
    </row>
    <row r="98" spans="1:34" s="261" customFormat="1" ht="39" customHeight="1">
      <c r="A98" s="606"/>
      <c r="B98" s="607" t="s">
        <v>469</v>
      </c>
      <c r="C98" s="647" t="s">
        <v>473</v>
      </c>
      <c r="D98" s="615">
        <v>22</v>
      </c>
      <c r="E98" s="632">
        <v>22</v>
      </c>
      <c r="F98" s="632"/>
      <c r="G98" s="632"/>
      <c r="H98" s="632"/>
      <c r="I98" s="632"/>
      <c r="J98" s="632"/>
      <c r="K98" s="632"/>
      <c r="L98" s="632"/>
      <c r="M98" s="609">
        <v>8</v>
      </c>
      <c r="N98" s="632"/>
      <c r="O98" s="609">
        <v>6</v>
      </c>
      <c r="P98" s="609">
        <v>8</v>
      </c>
      <c r="Q98" s="632"/>
      <c r="R98" s="626">
        <f t="shared" si="28"/>
        <v>100</v>
      </c>
      <c r="T98" s="465"/>
      <c r="U98" s="466"/>
      <c r="V98" s="460"/>
      <c r="W98" s="467"/>
      <c r="X98" s="468"/>
      <c r="Y98" s="463"/>
      <c r="Z98" s="469"/>
      <c r="AA98" s="469"/>
      <c r="AB98" s="469"/>
      <c r="AC98" s="469"/>
      <c r="AD98" s="469"/>
      <c r="AE98" s="469"/>
      <c r="AF98" s="469"/>
      <c r="AG98" s="469"/>
      <c r="AH98" s="469"/>
    </row>
    <row r="99" spans="1:34" s="261" customFormat="1" ht="39" customHeight="1">
      <c r="A99" s="606"/>
      <c r="B99" s="607" t="s">
        <v>470</v>
      </c>
      <c r="C99" s="647" t="s">
        <v>473</v>
      </c>
      <c r="D99" s="615">
        <v>43</v>
      </c>
      <c r="E99" s="632">
        <v>43</v>
      </c>
      <c r="F99" s="632"/>
      <c r="G99" s="632"/>
      <c r="H99" s="632"/>
      <c r="I99" s="632"/>
      <c r="J99" s="632"/>
      <c r="K99" s="632"/>
      <c r="L99" s="632"/>
      <c r="M99" s="609">
        <v>14</v>
      </c>
      <c r="N99" s="632"/>
      <c r="O99" s="609">
        <v>14</v>
      </c>
      <c r="P99" s="609">
        <v>15</v>
      </c>
      <c r="Q99" s="632"/>
      <c r="R99" s="626">
        <f t="shared" si="28"/>
        <v>100</v>
      </c>
      <c r="T99" s="470"/>
      <c r="U99" s="470"/>
      <c r="V99" s="470"/>
      <c r="W99" s="471"/>
      <c r="X99" s="472"/>
      <c r="Y99" s="473"/>
      <c r="Z99" s="470"/>
      <c r="AA99" s="470"/>
      <c r="AB99" s="470"/>
      <c r="AC99" s="470"/>
      <c r="AD99" s="470"/>
      <c r="AE99" s="470"/>
      <c r="AF99" s="470"/>
      <c r="AG99" s="470"/>
      <c r="AH99" s="470"/>
    </row>
    <row r="100" spans="1:34" s="261" customFormat="1" ht="39" customHeight="1">
      <c r="A100" s="606"/>
      <c r="B100" s="607" t="s">
        <v>471</v>
      </c>
      <c r="C100" s="647" t="s">
        <v>473</v>
      </c>
      <c r="D100" s="615">
        <v>25</v>
      </c>
      <c r="E100" s="632">
        <v>25</v>
      </c>
      <c r="F100" s="632"/>
      <c r="G100" s="632"/>
      <c r="H100" s="632"/>
      <c r="I100" s="632"/>
      <c r="J100" s="632"/>
      <c r="K100" s="632"/>
      <c r="L100" s="632"/>
      <c r="M100" s="609">
        <v>6</v>
      </c>
      <c r="N100" s="632"/>
      <c r="O100" s="609">
        <v>8</v>
      </c>
      <c r="P100" s="609">
        <v>11</v>
      </c>
      <c r="Q100" s="632"/>
      <c r="R100" s="626">
        <f t="shared" si="28"/>
        <v>100</v>
      </c>
      <c r="T100" s="470"/>
      <c r="U100" s="470"/>
      <c r="V100" s="470"/>
      <c r="W100" s="471"/>
      <c r="X100" s="472"/>
      <c r="Y100" s="473"/>
      <c r="Z100" s="470"/>
      <c r="AA100" s="470"/>
      <c r="AB100" s="470"/>
      <c r="AC100" s="470"/>
      <c r="AD100" s="470"/>
      <c r="AE100" s="470"/>
      <c r="AF100" s="470"/>
      <c r="AG100" s="470"/>
      <c r="AH100" s="470"/>
    </row>
    <row r="101" spans="1:34" s="261" customFormat="1" ht="31.5">
      <c r="A101" s="595" t="s">
        <v>146</v>
      </c>
      <c r="B101" s="599" t="s">
        <v>472</v>
      </c>
      <c r="C101" s="645"/>
      <c r="D101" s="615"/>
      <c r="E101" s="632"/>
      <c r="F101" s="632"/>
      <c r="G101" s="632"/>
      <c r="H101" s="632"/>
      <c r="I101" s="632"/>
      <c r="J101" s="632"/>
      <c r="K101" s="632"/>
      <c r="L101" s="632"/>
      <c r="M101" s="632"/>
      <c r="N101" s="632"/>
      <c r="O101" s="632"/>
      <c r="P101" s="632"/>
      <c r="Q101" s="632"/>
      <c r="R101" s="617"/>
      <c r="T101" s="470"/>
      <c r="U101" s="470"/>
      <c r="V101" s="470"/>
      <c r="W101" s="471"/>
      <c r="X101" s="472"/>
      <c r="Y101" s="473"/>
      <c r="Z101" s="470"/>
      <c r="AA101" s="470"/>
      <c r="AB101" s="470"/>
      <c r="AC101" s="470"/>
      <c r="AD101" s="470"/>
      <c r="AE101" s="470"/>
      <c r="AF101" s="470"/>
      <c r="AG101" s="470"/>
      <c r="AH101" s="470"/>
    </row>
    <row r="102" spans="1:34" s="261" customFormat="1" ht="31.5">
      <c r="A102" s="606"/>
      <c r="B102" s="607" t="s">
        <v>730</v>
      </c>
      <c r="C102" s="647" t="s">
        <v>13</v>
      </c>
      <c r="D102" s="627">
        <v>99</v>
      </c>
      <c r="E102" s="652">
        <v>99</v>
      </c>
      <c r="F102" s="630">
        <v>100</v>
      </c>
      <c r="G102" s="630">
        <v>100</v>
      </c>
      <c r="H102" s="630">
        <v>100</v>
      </c>
      <c r="I102" s="630">
        <v>100</v>
      </c>
      <c r="J102" s="630">
        <v>100</v>
      </c>
      <c r="K102" s="630">
        <v>100</v>
      </c>
      <c r="L102" s="630">
        <v>99</v>
      </c>
      <c r="M102" s="630">
        <v>99</v>
      </c>
      <c r="N102" s="630">
        <v>100</v>
      </c>
      <c r="O102" s="630">
        <v>100</v>
      </c>
      <c r="P102" s="630">
        <v>99</v>
      </c>
      <c r="Q102" s="630">
        <v>99</v>
      </c>
      <c r="R102" s="617"/>
      <c r="T102" s="470"/>
      <c r="U102" s="470"/>
      <c r="V102" s="470"/>
      <c r="W102" s="471"/>
      <c r="X102" s="472"/>
      <c r="Y102" s="473"/>
      <c r="Z102" s="470"/>
      <c r="AA102" s="470"/>
      <c r="AB102" s="470"/>
      <c r="AC102" s="470"/>
      <c r="AD102" s="470"/>
      <c r="AE102" s="470"/>
      <c r="AF102" s="470"/>
      <c r="AG102" s="470"/>
      <c r="AH102" s="470"/>
    </row>
    <row r="103" spans="1:25" s="261" customFormat="1" ht="31.5">
      <c r="A103" s="606"/>
      <c r="B103" s="607" t="s">
        <v>731</v>
      </c>
      <c r="C103" s="647" t="s">
        <v>98</v>
      </c>
      <c r="D103" s="615">
        <v>99.3</v>
      </c>
      <c r="E103" s="634">
        <v>99.3</v>
      </c>
      <c r="F103" s="630">
        <f>53/53%</f>
        <v>100</v>
      </c>
      <c r="G103" s="643">
        <f>(104+113)/(106+113)%</f>
        <v>99.08675799086758</v>
      </c>
      <c r="H103" s="643">
        <f>197/200%</f>
        <v>98.5</v>
      </c>
      <c r="I103" s="643">
        <f>(48+64)/(49+64)%</f>
        <v>99.11504424778762</v>
      </c>
      <c r="J103" s="643">
        <f>75/76%</f>
        <v>98.6842105263158</v>
      </c>
      <c r="K103" s="630">
        <f>144/144%</f>
        <v>100</v>
      </c>
      <c r="L103" s="630">
        <f>99/99%</f>
        <v>100</v>
      </c>
      <c r="M103" s="630">
        <f>91/91%</f>
        <v>100</v>
      </c>
      <c r="N103" s="630">
        <f>97/97%</f>
        <v>100</v>
      </c>
      <c r="O103" s="630">
        <f>59/59%</f>
        <v>100</v>
      </c>
      <c r="P103" s="630">
        <f>118/118%</f>
        <v>100</v>
      </c>
      <c r="Q103" s="643">
        <f>55/57%</f>
        <v>96.49122807017545</v>
      </c>
      <c r="R103" s="617"/>
      <c r="W103" s="474"/>
      <c r="X103" s="475"/>
      <c r="Y103" s="476"/>
    </row>
    <row r="104" spans="1:25" s="261" customFormat="1" ht="31.5">
      <c r="A104" s="606"/>
      <c r="B104" s="607" t="s">
        <v>732</v>
      </c>
      <c r="C104" s="647" t="s">
        <v>98</v>
      </c>
      <c r="D104" s="627">
        <v>90</v>
      </c>
      <c r="E104" s="652">
        <v>90</v>
      </c>
      <c r="F104" s="653">
        <v>100</v>
      </c>
      <c r="G104" s="653">
        <v>93</v>
      </c>
      <c r="H104" s="653">
        <v>79</v>
      </c>
      <c r="I104" s="653">
        <v>99</v>
      </c>
      <c r="J104" s="653">
        <v>92</v>
      </c>
      <c r="K104" s="653">
        <v>99</v>
      </c>
      <c r="L104" s="653">
        <v>91</v>
      </c>
      <c r="M104" s="653">
        <v>75</v>
      </c>
      <c r="N104" s="653">
        <v>74</v>
      </c>
      <c r="O104" s="653">
        <v>85</v>
      </c>
      <c r="P104" s="653">
        <v>79</v>
      </c>
      <c r="Q104" s="653">
        <v>72</v>
      </c>
      <c r="R104" s="617"/>
      <c r="W104" s="474"/>
      <c r="X104" s="475"/>
      <c r="Y104" s="476"/>
    </row>
    <row r="105" spans="1:25" s="261" customFormat="1" ht="31.5">
      <c r="A105" s="606"/>
      <c r="B105" s="607" t="s">
        <v>734</v>
      </c>
      <c r="C105" s="647" t="s">
        <v>98</v>
      </c>
      <c r="D105" s="627">
        <v>85</v>
      </c>
      <c r="E105" s="652">
        <v>85</v>
      </c>
      <c r="F105" s="653">
        <v>100</v>
      </c>
      <c r="G105" s="653">
        <v>94</v>
      </c>
      <c r="H105" s="653">
        <v>80</v>
      </c>
      <c r="I105" s="653">
        <v>96</v>
      </c>
      <c r="J105" s="653">
        <v>92</v>
      </c>
      <c r="K105" s="653">
        <v>99</v>
      </c>
      <c r="L105" s="653">
        <v>87</v>
      </c>
      <c r="M105" s="653">
        <v>65</v>
      </c>
      <c r="N105" s="653">
        <v>72</v>
      </c>
      <c r="O105" s="653">
        <v>76</v>
      </c>
      <c r="P105" s="653">
        <v>75</v>
      </c>
      <c r="Q105" s="653">
        <v>65</v>
      </c>
      <c r="R105" s="617"/>
      <c r="W105" s="474"/>
      <c r="X105" s="475"/>
      <c r="Y105" s="476"/>
    </row>
    <row r="106" spans="1:25" s="261" customFormat="1" ht="36" customHeight="1">
      <c r="A106" s="606"/>
      <c r="B106" s="607" t="s">
        <v>733</v>
      </c>
      <c r="C106" s="647" t="s">
        <v>98</v>
      </c>
      <c r="D106" s="627">
        <v>48</v>
      </c>
      <c r="E106" s="652">
        <v>48</v>
      </c>
      <c r="F106" s="653">
        <v>49</v>
      </c>
      <c r="G106" s="653">
        <v>50</v>
      </c>
      <c r="H106" s="653">
        <v>49</v>
      </c>
      <c r="I106" s="653">
        <v>48</v>
      </c>
      <c r="J106" s="653">
        <v>45</v>
      </c>
      <c r="K106" s="653">
        <v>48</v>
      </c>
      <c r="L106" s="653">
        <v>49</v>
      </c>
      <c r="M106" s="653">
        <v>51</v>
      </c>
      <c r="N106" s="653">
        <v>41</v>
      </c>
      <c r="O106" s="653">
        <v>51</v>
      </c>
      <c r="P106" s="653">
        <v>43</v>
      </c>
      <c r="Q106" s="653">
        <v>50</v>
      </c>
      <c r="R106" s="617"/>
      <c r="W106" s="474"/>
      <c r="X106" s="475"/>
      <c r="Y106" s="476"/>
    </row>
  </sheetData>
  <sheetProtection/>
  <mergeCells count="18">
    <mergeCell ref="E5:E7"/>
    <mergeCell ref="A1:B1"/>
    <mergeCell ref="A2:R2"/>
    <mergeCell ref="A3:R3"/>
    <mergeCell ref="D4:R4"/>
    <mergeCell ref="A5:A7"/>
    <mergeCell ref="B5:B7"/>
    <mergeCell ref="C5:C7"/>
    <mergeCell ref="D5:D7"/>
    <mergeCell ref="R6:R7"/>
    <mergeCell ref="Y5:Y7"/>
    <mergeCell ref="Z5:AH5"/>
    <mergeCell ref="F6:Q6"/>
    <mergeCell ref="T5:T7"/>
    <mergeCell ref="U5:U7"/>
    <mergeCell ref="V5:V7"/>
    <mergeCell ref="W5:W7"/>
    <mergeCell ref="X5:X7"/>
  </mergeCells>
  <printOptions/>
  <pageMargins left="0.7" right="0.7" top="0.75" bottom="0.75" header="0.3" footer="0.3"/>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1:F99"/>
  <sheetViews>
    <sheetView view="pageBreakPreview" zoomScale="115" zoomScaleNormal="130" zoomScaleSheetLayoutView="115" zoomScalePageLayoutView="0" workbookViewId="0" topLeftCell="A67">
      <selection activeCell="D49" sqref="D49"/>
    </sheetView>
  </sheetViews>
  <sheetFormatPr defaultColWidth="9.140625" defaultRowHeight="12.75"/>
  <cols>
    <col min="1" max="1" width="5.140625" style="15" customWidth="1"/>
    <col min="2" max="2" width="73.421875" style="14" customWidth="1"/>
    <col min="3" max="3" width="13.28125" style="15" customWidth="1"/>
    <col min="4" max="4" width="8.140625" style="15" customWidth="1"/>
    <col min="5" max="5" width="9.28125" style="298" customWidth="1"/>
    <col min="6" max="6" width="12.28125" style="15" customWidth="1"/>
    <col min="7" max="7" width="9.140625" style="6" customWidth="1"/>
    <col min="8" max="16384" width="9.140625" style="6" customWidth="1"/>
  </cols>
  <sheetData>
    <row r="1" spans="1:6" ht="16.5">
      <c r="A1" s="768" t="s">
        <v>355</v>
      </c>
      <c r="B1" s="768"/>
      <c r="C1" s="5"/>
      <c r="D1" s="5"/>
      <c r="E1" s="296"/>
      <c r="F1" s="5"/>
    </row>
    <row r="2" spans="1:6" s="7" customFormat="1" ht="18.75">
      <c r="A2" s="769" t="s">
        <v>600</v>
      </c>
      <c r="B2" s="769"/>
      <c r="C2" s="769"/>
      <c r="D2" s="769"/>
      <c r="E2" s="769"/>
      <c r="F2" s="769"/>
    </row>
    <row r="3" spans="1:6" s="7" customFormat="1" ht="18.75">
      <c r="A3" s="746" t="s">
        <v>755</v>
      </c>
      <c r="B3" s="746"/>
      <c r="C3" s="746"/>
      <c r="D3" s="746"/>
      <c r="E3" s="746"/>
      <c r="F3" s="746"/>
    </row>
    <row r="4" spans="1:6" ht="19.5" customHeight="1">
      <c r="A4" s="8"/>
      <c r="B4" s="9"/>
      <c r="C4" s="8"/>
      <c r="D4" s="8"/>
      <c r="E4" s="297"/>
      <c r="F4" s="123"/>
    </row>
    <row r="5" spans="1:6" s="10" customFormat="1" ht="21.75" customHeight="1">
      <c r="A5" s="770" t="s">
        <v>4</v>
      </c>
      <c r="B5" s="770" t="s">
        <v>179</v>
      </c>
      <c r="C5" s="770" t="s">
        <v>124</v>
      </c>
      <c r="D5" s="771" t="s">
        <v>607</v>
      </c>
      <c r="E5" s="767" t="s">
        <v>581</v>
      </c>
      <c r="F5" s="133" t="s">
        <v>1</v>
      </c>
    </row>
    <row r="6" spans="1:6" s="10" customFormat="1" ht="21.75" customHeight="1">
      <c r="A6" s="770"/>
      <c r="B6" s="770"/>
      <c r="C6" s="770"/>
      <c r="D6" s="771"/>
      <c r="E6" s="767"/>
      <c r="F6" s="772" t="s">
        <v>582</v>
      </c>
    </row>
    <row r="7" spans="1:6" s="10" customFormat="1" ht="64.5" customHeight="1">
      <c r="A7" s="770"/>
      <c r="B7" s="770"/>
      <c r="C7" s="770"/>
      <c r="D7" s="771"/>
      <c r="E7" s="767"/>
      <c r="F7" s="773"/>
    </row>
    <row r="8" spans="1:6" s="11" customFormat="1" ht="23.25" customHeight="1">
      <c r="A8" s="380" t="s">
        <v>180</v>
      </c>
      <c r="B8" s="656" t="s">
        <v>125</v>
      </c>
      <c r="C8" s="378"/>
      <c r="D8" s="378"/>
      <c r="E8" s="379"/>
      <c r="F8" s="378"/>
    </row>
    <row r="9" spans="1:6" s="12" customFormat="1" ht="23.25" customHeight="1">
      <c r="A9" s="382">
        <v>1</v>
      </c>
      <c r="B9" s="381" t="s">
        <v>679</v>
      </c>
      <c r="C9" s="382" t="s">
        <v>13</v>
      </c>
      <c r="D9" s="661">
        <v>91.8</v>
      </c>
      <c r="E9" s="662">
        <v>95</v>
      </c>
      <c r="F9" s="663">
        <f>E9-D9</f>
        <v>3.200000000000003</v>
      </c>
    </row>
    <row r="10" spans="1:6" s="12" customFormat="1" ht="23.25" customHeight="1">
      <c r="A10" s="382">
        <v>2</v>
      </c>
      <c r="B10" s="381" t="s">
        <v>680</v>
      </c>
      <c r="C10" s="382" t="s">
        <v>13</v>
      </c>
      <c r="D10" s="664">
        <v>74.6</v>
      </c>
      <c r="E10" s="665">
        <v>75.6</v>
      </c>
      <c r="F10" s="666">
        <f>E10-D10</f>
        <v>1</v>
      </c>
    </row>
    <row r="11" spans="1:6" s="12" customFormat="1" ht="23.25" customHeight="1">
      <c r="A11" s="382"/>
      <c r="B11" s="381" t="s">
        <v>681</v>
      </c>
      <c r="C11" s="382" t="s">
        <v>13</v>
      </c>
      <c r="D11" s="664">
        <v>74.6</v>
      </c>
      <c r="E11" s="665">
        <v>75.2</v>
      </c>
      <c r="F11" s="663">
        <f>E11-D11</f>
        <v>0.6000000000000085</v>
      </c>
    </row>
    <row r="12" spans="1:6" s="12" customFormat="1" ht="23.25" customHeight="1">
      <c r="A12" s="382">
        <v>3</v>
      </c>
      <c r="B12" s="381" t="s">
        <v>682</v>
      </c>
      <c r="C12" s="382" t="s">
        <v>13</v>
      </c>
      <c r="D12" s="664">
        <v>93.8</v>
      </c>
      <c r="E12" s="665">
        <v>94.1</v>
      </c>
      <c r="F12" s="663">
        <f>E12-D12</f>
        <v>0.29999999999999716</v>
      </c>
    </row>
    <row r="13" spans="1:6" s="12" customFormat="1" ht="23.25" customHeight="1">
      <c r="A13" s="382">
        <v>4</v>
      </c>
      <c r="B13" s="381" t="s">
        <v>683</v>
      </c>
      <c r="C13" s="382" t="s">
        <v>13</v>
      </c>
      <c r="D13" s="664">
        <v>45.8</v>
      </c>
      <c r="E13" s="665">
        <v>70</v>
      </c>
      <c r="F13" s="663">
        <f>E13-D13</f>
        <v>24.200000000000003</v>
      </c>
    </row>
    <row r="14" spans="1:6" s="12" customFormat="1" ht="34.5" customHeight="1">
      <c r="A14" s="382">
        <v>5</v>
      </c>
      <c r="B14" s="381" t="s">
        <v>684</v>
      </c>
      <c r="C14" s="382" t="s">
        <v>13</v>
      </c>
      <c r="D14" s="664">
        <v>100</v>
      </c>
      <c r="E14" s="665">
        <v>100</v>
      </c>
      <c r="F14" s="667"/>
    </row>
    <row r="15" spans="1:6" s="12" customFormat="1" ht="23.25" customHeight="1">
      <c r="A15" s="382">
        <v>6</v>
      </c>
      <c r="B15" s="381" t="s">
        <v>685</v>
      </c>
      <c r="C15" s="382" t="s">
        <v>126</v>
      </c>
      <c r="D15" s="664">
        <v>47.8</v>
      </c>
      <c r="E15" s="665">
        <v>21.5</v>
      </c>
      <c r="F15" s="663">
        <f>E15-D15</f>
        <v>-26.299999999999997</v>
      </c>
    </row>
    <row r="16" spans="1:6" s="12" customFormat="1" ht="30.75" customHeight="1">
      <c r="A16" s="382"/>
      <c r="B16" s="381" t="s">
        <v>686</v>
      </c>
      <c r="C16" s="382" t="s">
        <v>126</v>
      </c>
      <c r="D16" s="664">
        <v>47.8</v>
      </c>
      <c r="E16" s="665">
        <v>22</v>
      </c>
      <c r="F16" s="663">
        <f>E16-D16</f>
        <v>-25.799999999999997</v>
      </c>
    </row>
    <row r="17" spans="1:6" s="12" customFormat="1" ht="25.5" customHeight="1">
      <c r="A17" s="382">
        <v>7</v>
      </c>
      <c r="B17" s="381" t="s">
        <v>687</v>
      </c>
      <c r="C17" s="382" t="s">
        <v>126</v>
      </c>
      <c r="D17" s="664">
        <v>61.5</v>
      </c>
      <c r="E17" s="665">
        <v>31.3</v>
      </c>
      <c r="F17" s="663">
        <f>E17-D17</f>
        <v>-30.2</v>
      </c>
    </row>
    <row r="18" spans="1:6" s="12" customFormat="1" ht="25.5" customHeight="1">
      <c r="A18" s="382"/>
      <c r="B18" s="711" t="s">
        <v>688</v>
      </c>
      <c r="C18" s="382" t="s">
        <v>126</v>
      </c>
      <c r="D18" s="664">
        <v>61.5</v>
      </c>
      <c r="E18" s="665">
        <v>31.9</v>
      </c>
      <c r="F18" s="663">
        <f>E18-D18</f>
        <v>-29.6</v>
      </c>
    </row>
    <row r="19" spans="1:6" s="12" customFormat="1" ht="23.25" customHeight="1">
      <c r="A19" s="382">
        <v>8</v>
      </c>
      <c r="B19" s="381" t="s">
        <v>474</v>
      </c>
      <c r="C19" s="382" t="s">
        <v>475</v>
      </c>
      <c r="D19" s="664">
        <v>1</v>
      </c>
      <c r="E19" s="665"/>
      <c r="F19" s="667"/>
    </row>
    <row r="20" spans="1:6" s="12" customFormat="1" ht="33" customHeight="1">
      <c r="A20" s="382"/>
      <c r="B20" s="381" t="s">
        <v>689</v>
      </c>
      <c r="C20" s="382" t="s">
        <v>475</v>
      </c>
      <c r="D20" s="664">
        <v>1</v>
      </c>
      <c r="E20" s="665"/>
      <c r="F20" s="667"/>
    </row>
    <row r="21" spans="1:6" s="12" customFormat="1" ht="23.25" customHeight="1">
      <c r="A21" s="382">
        <v>9</v>
      </c>
      <c r="B21" s="381" t="s">
        <v>127</v>
      </c>
      <c r="C21" s="382" t="s">
        <v>13</v>
      </c>
      <c r="D21" s="664">
        <v>3</v>
      </c>
      <c r="E21" s="665">
        <v>2.9</v>
      </c>
      <c r="F21" s="663">
        <f aca="true" t="shared" si="0" ref="F21:F26">E21-D21</f>
        <v>-0.10000000000000009</v>
      </c>
    </row>
    <row r="22" spans="1:6" s="12" customFormat="1" ht="23.25" customHeight="1">
      <c r="A22" s="382">
        <v>10</v>
      </c>
      <c r="B22" s="381" t="s">
        <v>476</v>
      </c>
      <c r="C22" s="382" t="s">
        <v>13</v>
      </c>
      <c r="D22" s="664">
        <v>29</v>
      </c>
      <c r="E22" s="665">
        <v>37</v>
      </c>
      <c r="F22" s="666">
        <f t="shared" si="0"/>
        <v>8</v>
      </c>
    </row>
    <row r="23" spans="1:6" s="12" customFormat="1" ht="23.25" customHeight="1">
      <c r="A23" s="382">
        <v>11</v>
      </c>
      <c r="B23" s="381" t="s">
        <v>690</v>
      </c>
      <c r="C23" s="382" t="s">
        <v>13</v>
      </c>
      <c r="D23" s="665">
        <v>17.1</v>
      </c>
      <c r="E23" s="665">
        <v>16.8</v>
      </c>
      <c r="F23" s="663">
        <f t="shared" si="0"/>
        <v>-0.3000000000000007</v>
      </c>
    </row>
    <row r="24" spans="1:6" s="12" customFormat="1" ht="23.25" customHeight="1">
      <c r="A24" s="382"/>
      <c r="B24" s="381" t="s">
        <v>691</v>
      </c>
      <c r="C24" s="382" t="s">
        <v>13</v>
      </c>
      <c r="D24" s="665">
        <v>17.1</v>
      </c>
      <c r="E24" s="665">
        <v>16.8</v>
      </c>
      <c r="F24" s="663">
        <f t="shared" si="0"/>
        <v>-0.3000000000000007</v>
      </c>
    </row>
    <row r="25" spans="1:6" s="12" customFormat="1" ht="23.25" customHeight="1">
      <c r="A25" s="382">
        <v>12</v>
      </c>
      <c r="B25" s="381" t="s">
        <v>692</v>
      </c>
      <c r="C25" s="382" t="s">
        <v>13</v>
      </c>
      <c r="D25" s="665">
        <v>25.2</v>
      </c>
      <c r="E25" s="665">
        <v>25</v>
      </c>
      <c r="F25" s="663">
        <f t="shared" si="0"/>
        <v>-0.1999999999999993</v>
      </c>
    </row>
    <row r="26" spans="1:6" s="12" customFormat="1" ht="23.25" customHeight="1">
      <c r="A26" s="382">
        <v>13</v>
      </c>
      <c r="B26" s="381" t="s">
        <v>693</v>
      </c>
      <c r="C26" s="382" t="s">
        <v>13</v>
      </c>
      <c r="D26" s="665">
        <v>44.4</v>
      </c>
      <c r="E26" s="668">
        <v>60.5</v>
      </c>
      <c r="F26" s="663">
        <f t="shared" si="0"/>
        <v>16.1</v>
      </c>
    </row>
    <row r="27" spans="1:6" s="12" customFormat="1" ht="23.25" customHeight="1">
      <c r="A27" s="382">
        <v>14</v>
      </c>
      <c r="B27" s="381" t="s">
        <v>128</v>
      </c>
      <c r="C27" s="382" t="s">
        <v>13</v>
      </c>
      <c r="D27" s="669">
        <v>100</v>
      </c>
      <c r="E27" s="669">
        <v>100</v>
      </c>
      <c r="F27" s="667"/>
    </row>
    <row r="28" spans="1:6" s="12" customFormat="1" ht="23.25" customHeight="1" hidden="1">
      <c r="A28" s="382">
        <v>15</v>
      </c>
      <c r="B28" s="381" t="s">
        <v>477</v>
      </c>
      <c r="C28" s="382" t="s">
        <v>13</v>
      </c>
      <c r="D28" s="665">
        <v>0</v>
      </c>
      <c r="E28" s="665"/>
      <c r="F28" s="667"/>
    </row>
    <row r="29" spans="1:6" s="12" customFormat="1" ht="23.25" customHeight="1">
      <c r="A29" s="382">
        <v>15</v>
      </c>
      <c r="B29" s="381" t="s">
        <v>478</v>
      </c>
      <c r="C29" s="382" t="s">
        <v>13</v>
      </c>
      <c r="D29" s="669">
        <v>46</v>
      </c>
      <c r="E29" s="669">
        <v>48.2</v>
      </c>
      <c r="F29" s="663">
        <f>E29-D29</f>
        <v>2.200000000000003</v>
      </c>
    </row>
    <row r="30" spans="1:6" s="12" customFormat="1" ht="23.25" customHeight="1">
      <c r="A30" s="382"/>
      <c r="B30" s="381" t="s">
        <v>694</v>
      </c>
      <c r="C30" s="382" t="s">
        <v>13</v>
      </c>
      <c r="D30" s="669">
        <v>43.1</v>
      </c>
      <c r="E30" s="669">
        <v>43.9</v>
      </c>
      <c r="F30" s="663">
        <f>E30-D30</f>
        <v>0.7999999999999972</v>
      </c>
    </row>
    <row r="31" spans="1:6" s="12" customFormat="1" ht="23.25" customHeight="1">
      <c r="A31" s="382">
        <v>16</v>
      </c>
      <c r="B31" s="381" t="s">
        <v>739</v>
      </c>
      <c r="C31" s="382"/>
      <c r="D31" s="669"/>
      <c r="E31" s="669"/>
      <c r="F31" s="667"/>
    </row>
    <row r="32" spans="1:6" s="12" customFormat="1" ht="23.25" customHeight="1">
      <c r="A32" s="382"/>
      <c r="B32" s="381" t="s">
        <v>604</v>
      </c>
      <c r="C32" s="382" t="s">
        <v>129</v>
      </c>
      <c r="D32" s="665">
        <v>20.6</v>
      </c>
      <c r="E32" s="665">
        <v>18.5</v>
      </c>
      <c r="F32" s="663">
        <f>E32-D32</f>
        <v>-2.1000000000000014</v>
      </c>
    </row>
    <row r="33" spans="1:6" s="12" customFormat="1" ht="21.75" customHeight="1" hidden="1">
      <c r="A33" s="382"/>
      <c r="B33" s="381" t="s">
        <v>605</v>
      </c>
      <c r="C33" s="382" t="s">
        <v>129</v>
      </c>
      <c r="D33" s="665"/>
      <c r="E33" s="665"/>
      <c r="F33" s="663"/>
    </row>
    <row r="34" spans="1:6" s="12" customFormat="1" ht="23.25" customHeight="1">
      <c r="A34" s="382"/>
      <c r="B34" s="381" t="s">
        <v>695</v>
      </c>
      <c r="C34" s="382" t="s">
        <v>129</v>
      </c>
      <c r="D34" s="665">
        <v>20.6</v>
      </c>
      <c r="E34" s="665">
        <v>18.5</v>
      </c>
      <c r="F34" s="663">
        <f>E34-D34</f>
        <v>-2.1000000000000014</v>
      </c>
    </row>
    <row r="35" spans="1:6" s="12" customFormat="1" ht="23.25" customHeight="1">
      <c r="A35" s="382"/>
      <c r="B35" s="381" t="s">
        <v>130</v>
      </c>
      <c r="C35" s="382" t="s">
        <v>13</v>
      </c>
      <c r="D35" s="665">
        <v>51.8</v>
      </c>
      <c r="E35" s="665">
        <v>51.8</v>
      </c>
      <c r="F35" s="667"/>
    </row>
    <row r="36" spans="1:6" s="12" customFormat="1" ht="23.25" customHeight="1">
      <c r="A36" s="382">
        <v>17</v>
      </c>
      <c r="B36" s="381" t="s">
        <v>131</v>
      </c>
      <c r="C36" s="382" t="s">
        <v>132</v>
      </c>
      <c r="D36" s="664"/>
      <c r="E36" s="670">
        <v>500000</v>
      </c>
      <c r="F36" s="667"/>
    </row>
    <row r="37" spans="1:6" s="11" customFormat="1" ht="23.25" customHeight="1">
      <c r="A37" s="380" t="s">
        <v>185</v>
      </c>
      <c r="B37" s="656" t="s">
        <v>133</v>
      </c>
      <c r="C37" s="380"/>
      <c r="D37" s="671"/>
      <c r="E37" s="672"/>
      <c r="F37" s="667"/>
    </row>
    <row r="38" spans="1:6" s="12" customFormat="1" ht="23.25" customHeight="1">
      <c r="A38" s="382"/>
      <c r="B38" s="656" t="s">
        <v>134</v>
      </c>
      <c r="C38" s="382"/>
      <c r="D38" s="671">
        <f>SUM(D39:D43)</f>
        <v>17</v>
      </c>
      <c r="E38" s="671">
        <f>SUM(E39:E43)</f>
        <v>15</v>
      </c>
      <c r="F38" s="673">
        <f>E38/D38*100</f>
        <v>88.23529411764706</v>
      </c>
    </row>
    <row r="39" spans="1:6" s="12" customFormat="1" ht="23.25" customHeight="1">
      <c r="A39" s="382">
        <v>1</v>
      </c>
      <c r="B39" s="381" t="s">
        <v>602</v>
      </c>
      <c r="C39" s="382" t="s">
        <v>603</v>
      </c>
      <c r="D39" s="664">
        <v>1</v>
      </c>
      <c r="E39" s="665">
        <v>1</v>
      </c>
      <c r="F39" s="666">
        <f>E39/D39*100</f>
        <v>100</v>
      </c>
    </row>
    <row r="40" spans="1:6" s="12" customFormat="1" ht="23.25" customHeight="1">
      <c r="A40" s="382">
        <v>2</v>
      </c>
      <c r="B40" s="381" t="s">
        <v>135</v>
      </c>
      <c r="C40" s="382" t="s">
        <v>696</v>
      </c>
      <c r="D40" s="664">
        <v>2</v>
      </c>
      <c r="E40" s="665">
        <v>2</v>
      </c>
      <c r="F40" s="666">
        <f>E40/D40*100</f>
        <v>100</v>
      </c>
    </row>
    <row r="41" spans="1:6" s="12" customFormat="1" ht="23.25" customHeight="1">
      <c r="A41" s="382">
        <v>3</v>
      </c>
      <c r="B41" s="381" t="s">
        <v>136</v>
      </c>
      <c r="C41" s="382" t="s">
        <v>137</v>
      </c>
      <c r="D41" s="674">
        <v>1</v>
      </c>
      <c r="E41" s="669"/>
      <c r="F41" s="666"/>
    </row>
    <row r="42" spans="1:6" s="12" customFormat="1" ht="23.25" customHeight="1">
      <c r="A42" s="382">
        <v>4</v>
      </c>
      <c r="B42" s="381" t="s">
        <v>697</v>
      </c>
      <c r="C42" s="382" t="s">
        <v>137</v>
      </c>
      <c r="D42" s="674">
        <v>1</v>
      </c>
      <c r="E42" s="669"/>
      <c r="F42" s="666"/>
    </row>
    <row r="43" spans="1:6" s="12" customFormat="1" ht="23.25" customHeight="1">
      <c r="A43" s="382">
        <v>5</v>
      </c>
      <c r="B43" s="381" t="s">
        <v>544</v>
      </c>
      <c r="C43" s="382" t="s">
        <v>138</v>
      </c>
      <c r="D43" s="664">
        <v>12</v>
      </c>
      <c r="E43" s="665">
        <v>12</v>
      </c>
      <c r="F43" s="666">
        <f>E43/D43*100</f>
        <v>100</v>
      </c>
    </row>
    <row r="44" spans="1:6" s="12" customFormat="1" ht="23.25" customHeight="1">
      <c r="A44" s="382">
        <v>6</v>
      </c>
      <c r="B44" s="381" t="s">
        <v>545</v>
      </c>
      <c r="C44" s="382" t="s">
        <v>13</v>
      </c>
      <c r="D44" s="674">
        <v>100</v>
      </c>
      <c r="E44" s="669">
        <v>100</v>
      </c>
      <c r="F44" s="667"/>
    </row>
    <row r="45" spans="1:6" s="12" customFormat="1" ht="23.25" customHeight="1">
      <c r="A45" s="382">
        <v>7</v>
      </c>
      <c r="B45" s="381" t="s">
        <v>606</v>
      </c>
      <c r="C45" s="382" t="s">
        <v>13</v>
      </c>
      <c r="D45" s="674">
        <v>100</v>
      </c>
      <c r="E45" s="669">
        <v>100</v>
      </c>
      <c r="F45" s="667"/>
    </row>
    <row r="46" spans="1:6" s="11" customFormat="1" ht="23.25" customHeight="1">
      <c r="A46" s="380" t="s">
        <v>186</v>
      </c>
      <c r="B46" s="656" t="s">
        <v>740</v>
      </c>
      <c r="C46" s="380"/>
      <c r="D46" s="671"/>
      <c r="E46" s="672"/>
      <c r="F46" s="667"/>
    </row>
    <row r="47" spans="1:6" s="11" customFormat="1" ht="23.25" customHeight="1">
      <c r="A47" s="380"/>
      <c r="B47" s="656" t="s">
        <v>401</v>
      </c>
      <c r="C47" s="380" t="s">
        <v>139</v>
      </c>
      <c r="D47" s="675">
        <f>D50+D53</f>
        <v>166</v>
      </c>
      <c r="E47" s="675">
        <f>E50+E53</f>
        <v>186</v>
      </c>
      <c r="F47" s="667">
        <f>E47/D47*100</f>
        <v>112.04819277108433</v>
      </c>
    </row>
    <row r="48" spans="1:6" s="12" customFormat="1" ht="23.25" customHeight="1">
      <c r="A48" s="382"/>
      <c r="B48" s="381" t="s">
        <v>402</v>
      </c>
      <c r="C48" s="382" t="s">
        <v>139</v>
      </c>
      <c r="D48" s="664">
        <v>130</v>
      </c>
      <c r="E48" s="669">
        <v>130</v>
      </c>
      <c r="F48" s="666">
        <f>E48/D48*100</f>
        <v>100</v>
      </c>
    </row>
    <row r="49" spans="1:6" s="12" customFormat="1" ht="23.25" customHeight="1">
      <c r="A49" s="382"/>
      <c r="B49" s="381" t="s">
        <v>403</v>
      </c>
      <c r="C49" s="382" t="s">
        <v>140</v>
      </c>
      <c r="D49" s="661">
        <v>22.3</v>
      </c>
      <c r="E49" s="676">
        <f>E48/58952*10000</f>
        <v>22.051838784095537</v>
      </c>
      <c r="F49" s="667">
        <f>E49-D49</f>
        <v>-0.24816121590446372</v>
      </c>
    </row>
    <row r="50" spans="1:6" s="12" customFormat="1" ht="23.25" customHeight="1">
      <c r="A50" s="380">
        <v>1</v>
      </c>
      <c r="B50" s="656" t="s">
        <v>698</v>
      </c>
      <c r="C50" s="380" t="s">
        <v>139</v>
      </c>
      <c r="D50" s="677">
        <v>130</v>
      </c>
      <c r="E50" s="678">
        <f>E51+E52</f>
        <v>150</v>
      </c>
      <c r="F50" s="667">
        <f>E50/D50*100</f>
        <v>115.38461538461537</v>
      </c>
    </row>
    <row r="51" spans="1:6" s="12" customFormat="1" ht="23.25" customHeight="1">
      <c r="A51" s="382"/>
      <c r="B51" s="381" t="s">
        <v>141</v>
      </c>
      <c r="C51" s="382" t="s">
        <v>139</v>
      </c>
      <c r="D51" s="664">
        <v>120</v>
      </c>
      <c r="E51" s="665">
        <v>120</v>
      </c>
      <c r="F51" s="666">
        <f>E51/D51*100</f>
        <v>100</v>
      </c>
    </row>
    <row r="52" spans="1:6" s="12" customFormat="1" ht="23.25" customHeight="1">
      <c r="A52" s="382"/>
      <c r="B52" s="381" t="s">
        <v>699</v>
      </c>
      <c r="C52" s="382" t="s">
        <v>139</v>
      </c>
      <c r="D52" s="664">
        <v>10</v>
      </c>
      <c r="E52" s="665">
        <v>30</v>
      </c>
      <c r="F52" s="666">
        <f>E52/D52*100</f>
        <v>300</v>
      </c>
    </row>
    <row r="53" spans="1:6" s="46" customFormat="1" ht="23.25" customHeight="1">
      <c r="A53" s="380">
        <v>2</v>
      </c>
      <c r="B53" s="656" t="s">
        <v>142</v>
      </c>
      <c r="C53" s="380" t="s">
        <v>139</v>
      </c>
      <c r="D53" s="671">
        <v>36</v>
      </c>
      <c r="E53" s="672">
        <v>36</v>
      </c>
      <c r="F53" s="666">
        <f>E53/D53*100</f>
        <v>100</v>
      </c>
    </row>
    <row r="54" spans="1:6" s="11" customFormat="1" ht="23.25" customHeight="1">
      <c r="A54" s="380" t="s">
        <v>187</v>
      </c>
      <c r="B54" s="656" t="s">
        <v>738</v>
      </c>
      <c r="C54" s="380"/>
      <c r="D54" s="671"/>
      <c r="E54" s="672"/>
      <c r="F54" s="667"/>
    </row>
    <row r="55" spans="1:6" s="201" customFormat="1" ht="23.25" customHeight="1">
      <c r="A55" s="654">
        <v>1</v>
      </c>
      <c r="B55" s="657" t="s">
        <v>405</v>
      </c>
      <c r="C55" s="654" t="s">
        <v>140</v>
      </c>
      <c r="D55" s="679">
        <v>9.2</v>
      </c>
      <c r="E55" s="680">
        <v>9.67</v>
      </c>
      <c r="F55" s="681">
        <f>E55-D55</f>
        <v>0.47000000000000064</v>
      </c>
    </row>
    <row r="56" spans="1:6" s="201" customFormat="1" ht="23.25" customHeight="1">
      <c r="A56" s="654">
        <v>2</v>
      </c>
      <c r="B56" s="657" t="s">
        <v>404</v>
      </c>
      <c r="C56" s="654" t="s">
        <v>140</v>
      </c>
      <c r="D56" s="668">
        <v>0.34</v>
      </c>
      <c r="E56" s="668">
        <v>0.68</v>
      </c>
      <c r="F56" s="681">
        <f>E56-D56</f>
        <v>0.34</v>
      </c>
    </row>
    <row r="57" spans="1:6" s="201" customFormat="1" ht="23.25" customHeight="1">
      <c r="A57" s="654">
        <v>3</v>
      </c>
      <c r="B57" s="657" t="s">
        <v>400</v>
      </c>
      <c r="C57" s="654" t="s">
        <v>13</v>
      </c>
      <c r="D57" s="682">
        <v>100</v>
      </c>
      <c r="E57" s="682">
        <v>100</v>
      </c>
      <c r="F57" s="681"/>
    </row>
    <row r="58" spans="1:6" s="201" customFormat="1" ht="23.25" customHeight="1">
      <c r="A58" s="654">
        <v>4</v>
      </c>
      <c r="B58" s="657" t="s">
        <v>741</v>
      </c>
      <c r="C58" s="654" t="s">
        <v>13</v>
      </c>
      <c r="D58" s="668">
        <v>100</v>
      </c>
      <c r="E58" s="682">
        <v>100</v>
      </c>
      <c r="F58" s="681"/>
    </row>
    <row r="59" spans="1:6" s="201" customFormat="1" ht="23.25" customHeight="1">
      <c r="A59" s="654">
        <v>5</v>
      </c>
      <c r="B59" s="657" t="s">
        <v>143</v>
      </c>
      <c r="C59" s="654" t="s">
        <v>13</v>
      </c>
      <c r="D59" s="683">
        <v>93.7</v>
      </c>
      <c r="E59" s="683">
        <v>100</v>
      </c>
      <c r="F59" s="684">
        <f>E59-D59</f>
        <v>6.299999999999997</v>
      </c>
    </row>
    <row r="60" spans="1:6" s="12" customFormat="1" ht="23.25" customHeight="1">
      <c r="A60" s="380" t="s">
        <v>144</v>
      </c>
      <c r="B60" s="656" t="s">
        <v>742</v>
      </c>
      <c r="C60" s="382"/>
      <c r="D60" s="664"/>
      <c r="E60" s="665"/>
      <c r="F60" s="667"/>
    </row>
    <row r="61" spans="1:6" s="12" customFormat="1" ht="23.25" customHeight="1">
      <c r="A61" s="382"/>
      <c r="B61" s="381" t="s">
        <v>700</v>
      </c>
      <c r="C61" s="382" t="s">
        <v>145</v>
      </c>
      <c r="D61" s="664">
        <v>9</v>
      </c>
      <c r="E61" s="665">
        <v>10</v>
      </c>
      <c r="F61" s="667">
        <f>E61/D61*100</f>
        <v>111.11111111111111</v>
      </c>
    </row>
    <row r="62" spans="1:6" s="12" customFormat="1" ht="23.25" customHeight="1">
      <c r="A62" s="382"/>
      <c r="B62" s="658" t="s">
        <v>701</v>
      </c>
      <c r="C62" s="382" t="s">
        <v>13</v>
      </c>
      <c r="D62" s="685">
        <f>D61/12*100</f>
        <v>75</v>
      </c>
      <c r="E62" s="686">
        <f>E61/12*100</f>
        <v>83.33333333333334</v>
      </c>
      <c r="F62" s="667">
        <f>E62-D62</f>
        <v>8.333333333333343</v>
      </c>
    </row>
    <row r="63" spans="1:6" s="12" customFormat="1" ht="23.25" customHeight="1">
      <c r="A63" s="380" t="s">
        <v>146</v>
      </c>
      <c r="B63" s="656" t="s">
        <v>147</v>
      </c>
      <c r="C63" s="382"/>
      <c r="D63" s="671"/>
      <c r="E63" s="665"/>
      <c r="F63" s="667"/>
    </row>
    <row r="64" spans="1:6" s="12" customFormat="1" ht="23.25" customHeight="1">
      <c r="A64" s="380">
        <v>1</v>
      </c>
      <c r="B64" s="656" t="s">
        <v>148</v>
      </c>
      <c r="C64" s="382"/>
      <c r="D64" s="664"/>
      <c r="E64" s="665"/>
      <c r="F64" s="667"/>
    </row>
    <row r="65" spans="1:6" s="11" customFormat="1" ht="23.25" customHeight="1">
      <c r="A65" s="380" t="s">
        <v>182</v>
      </c>
      <c r="B65" s="656" t="s">
        <v>149</v>
      </c>
      <c r="C65" s="380" t="s">
        <v>150</v>
      </c>
      <c r="D65" s="687">
        <f>D74+D72</f>
        <v>57729</v>
      </c>
      <c r="E65" s="687">
        <v>58952</v>
      </c>
      <c r="F65" s="667">
        <f>E65/D65*100</f>
        <v>102.11851928839923</v>
      </c>
    </row>
    <row r="66" spans="1:6" s="12" customFormat="1" ht="23.25" customHeight="1">
      <c r="A66" s="380"/>
      <c r="B66" s="381" t="s">
        <v>151</v>
      </c>
      <c r="C66" s="382" t="s">
        <v>126</v>
      </c>
      <c r="D66" s="688">
        <v>24.79</v>
      </c>
      <c r="E66" s="684">
        <v>22.4</v>
      </c>
      <c r="F66" s="663">
        <f>E66-D66</f>
        <v>-2.3900000000000006</v>
      </c>
    </row>
    <row r="67" spans="1:6" s="12" customFormat="1" ht="23.25" customHeight="1">
      <c r="A67" s="380"/>
      <c r="B67" s="381" t="s">
        <v>479</v>
      </c>
      <c r="C67" s="382" t="s">
        <v>126</v>
      </c>
      <c r="D67" s="689">
        <v>19.39</v>
      </c>
      <c r="E67" s="690">
        <v>15.3</v>
      </c>
      <c r="F67" s="667">
        <f>E67-D67</f>
        <v>-4.09</v>
      </c>
    </row>
    <row r="68" spans="1:6" s="12" customFormat="1" ht="23.25" customHeight="1">
      <c r="A68" s="380"/>
      <c r="B68" s="381" t="s">
        <v>152</v>
      </c>
      <c r="C68" s="382" t="s">
        <v>126</v>
      </c>
      <c r="D68" s="691" t="s">
        <v>676</v>
      </c>
      <c r="E68" s="692" t="s">
        <v>677</v>
      </c>
      <c r="F68" s="663" t="e">
        <f>E68-D68</f>
        <v>#VALUE!</v>
      </c>
    </row>
    <row r="69" spans="1:6" s="12" customFormat="1" ht="23.25" customHeight="1">
      <c r="A69" s="380"/>
      <c r="B69" s="381" t="s">
        <v>153</v>
      </c>
      <c r="C69" s="382" t="s">
        <v>13</v>
      </c>
      <c r="D69" s="693">
        <v>0.07</v>
      </c>
      <c r="E69" s="693">
        <f>((E65-D65)/D65)*100</f>
        <v>2.1185192883992445</v>
      </c>
      <c r="F69" s="667">
        <f>E69-D69</f>
        <v>2.0485192883992447</v>
      </c>
    </row>
    <row r="70" spans="1:6" s="12" customFormat="1" ht="23.25" customHeight="1">
      <c r="A70" s="380"/>
      <c r="B70" s="659" t="s">
        <v>480</v>
      </c>
      <c r="C70" s="710" t="s">
        <v>743</v>
      </c>
      <c r="D70" s="694">
        <v>103</v>
      </c>
      <c r="E70" s="694">
        <v>109</v>
      </c>
      <c r="F70" s="667">
        <f>E70/D70*100</f>
        <v>105.8252427184466</v>
      </c>
    </row>
    <row r="71" spans="1:6" s="12" customFormat="1" ht="23.25" customHeight="1">
      <c r="A71" s="380" t="s">
        <v>183</v>
      </c>
      <c r="B71" s="656" t="s">
        <v>154</v>
      </c>
      <c r="C71" s="382"/>
      <c r="D71" s="695"/>
      <c r="E71" s="695"/>
      <c r="F71" s="667"/>
    </row>
    <row r="72" spans="1:6" s="12" customFormat="1" ht="23.25" customHeight="1">
      <c r="A72" s="382"/>
      <c r="B72" s="381" t="s">
        <v>155</v>
      </c>
      <c r="C72" s="382" t="s">
        <v>150</v>
      </c>
      <c r="D72" s="696">
        <v>29447</v>
      </c>
      <c r="E72" s="696">
        <v>30046</v>
      </c>
      <c r="F72" s="667">
        <f>E72/D72*100</f>
        <v>102.03416307263898</v>
      </c>
    </row>
    <row r="73" spans="1:6" s="12" customFormat="1" ht="23.25" customHeight="1">
      <c r="A73" s="380"/>
      <c r="B73" s="381" t="s">
        <v>156</v>
      </c>
      <c r="C73" s="382" t="s">
        <v>13</v>
      </c>
      <c r="D73" s="697">
        <f>D72/D65%</f>
        <v>51.00902492681322</v>
      </c>
      <c r="E73" s="697">
        <f>E72/E65*100</f>
        <v>50.966888315918034</v>
      </c>
      <c r="F73" s="667">
        <f>E73-D73</f>
        <v>-0.04213661089518439</v>
      </c>
    </row>
    <row r="74" spans="1:6" s="12" customFormat="1" ht="23.25" customHeight="1">
      <c r="A74" s="382"/>
      <c r="B74" s="381" t="s">
        <v>157</v>
      </c>
      <c r="C74" s="382" t="s">
        <v>150</v>
      </c>
      <c r="D74" s="696">
        <v>28282</v>
      </c>
      <c r="E74" s="696">
        <f>E65-E72</f>
        <v>28906</v>
      </c>
      <c r="F74" s="667">
        <f>E74/D74*100</f>
        <v>102.20635032883105</v>
      </c>
    </row>
    <row r="75" spans="1:6" s="12" customFormat="1" ht="23.25" customHeight="1">
      <c r="A75" s="380"/>
      <c r="B75" s="381" t="s">
        <v>158</v>
      </c>
      <c r="C75" s="382" t="s">
        <v>13</v>
      </c>
      <c r="D75" s="697">
        <f>D74/D65%</f>
        <v>48.99097507318679</v>
      </c>
      <c r="E75" s="697">
        <f>E74/E65%</f>
        <v>49.033111684081966</v>
      </c>
      <c r="F75" s="667">
        <f>E75-D75</f>
        <v>0.042136610895177284</v>
      </c>
    </row>
    <row r="76" spans="1:6" s="12" customFormat="1" ht="23.25" customHeight="1">
      <c r="A76" s="380" t="s">
        <v>184</v>
      </c>
      <c r="B76" s="656" t="s">
        <v>159</v>
      </c>
      <c r="C76" s="382"/>
      <c r="D76" s="698"/>
      <c r="E76" s="699"/>
      <c r="F76" s="667"/>
    </row>
    <row r="77" spans="1:6" s="12" customFormat="1" ht="23.25" customHeight="1">
      <c r="A77" s="382"/>
      <c r="B77" s="381" t="s">
        <v>160</v>
      </c>
      <c r="C77" s="382" t="s">
        <v>150</v>
      </c>
      <c r="D77" s="700">
        <v>3834</v>
      </c>
      <c r="E77" s="696">
        <v>3955</v>
      </c>
      <c r="F77" s="667">
        <f>E77/D77*100</f>
        <v>103.15597287428272</v>
      </c>
    </row>
    <row r="78" spans="1:6" s="12" customFormat="1" ht="23.25" customHeight="1">
      <c r="A78" s="382"/>
      <c r="B78" s="381" t="s">
        <v>156</v>
      </c>
      <c r="C78" s="382" t="s">
        <v>13</v>
      </c>
      <c r="D78" s="701">
        <f>D77/D65*100</f>
        <v>6.6413760848100605</v>
      </c>
      <c r="E78" s="701">
        <f>E77/E65*100</f>
        <v>6.708847876238296</v>
      </c>
      <c r="F78" s="667">
        <f>E78-D78</f>
        <v>0.06747179142823523</v>
      </c>
    </row>
    <row r="79" spans="1:6" s="12" customFormat="1" ht="23.25" customHeight="1">
      <c r="A79" s="382"/>
      <c r="B79" s="381" t="s">
        <v>161</v>
      </c>
      <c r="C79" s="382" t="s">
        <v>150</v>
      </c>
      <c r="D79" s="698">
        <f>D65-D77</f>
        <v>53895</v>
      </c>
      <c r="E79" s="698">
        <f>E65-E77</f>
        <v>54997</v>
      </c>
      <c r="F79" s="667">
        <f>E79/D79*100</f>
        <v>102.04471657853233</v>
      </c>
    </row>
    <row r="80" spans="1:6" s="12" customFormat="1" ht="23.25" customHeight="1">
      <c r="A80" s="382"/>
      <c r="B80" s="381" t="s">
        <v>158</v>
      </c>
      <c r="C80" s="382" t="s">
        <v>13</v>
      </c>
      <c r="D80" s="702">
        <f>D79/D65%</f>
        <v>93.35862391518995</v>
      </c>
      <c r="E80" s="702">
        <f>E79/E65%</f>
        <v>93.2911521237617</v>
      </c>
      <c r="F80" s="667">
        <f>E80-D80</f>
        <v>-0.06747179142824677</v>
      </c>
    </row>
    <row r="81" spans="1:6" s="12" customFormat="1" ht="23.25" customHeight="1">
      <c r="A81" s="380">
        <v>2</v>
      </c>
      <c r="B81" s="656" t="s">
        <v>162</v>
      </c>
      <c r="C81" s="382"/>
      <c r="D81" s="703"/>
      <c r="E81" s="704"/>
      <c r="F81" s="667"/>
    </row>
    <row r="82" spans="1:6" s="12" customFormat="1" ht="23.25" customHeight="1">
      <c r="A82" s="380"/>
      <c r="B82" s="381" t="s">
        <v>163</v>
      </c>
      <c r="C82" s="382" t="s">
        <v>13</v>
      </c>
      <c r="D82" s="661">
        <v>24.8</v>
      </c>
      <c r="E82" s="679">
        <v>25.5</v>
      </c>
      <c r="F82" s="663">
        <f>E82-D82</f>
        <v>0.6999999999999993</v>
      </c>
    </row>
    <row r="83" spans="1:6" s="201" customFormat="1" ht="23.25" customHeight="1">
      <c r="A83" s="655"/>
      <c r="B83" s="657" t="s">
        <v>702</v>
      </c>
      <c r="C83" s="654" t="s">
        <v>13</v>
      </c>
      <c r="D83" s="668">
        <v>20.4</v>
      </c>
      <c r="E83" s="668">
        <v>20.4</v>
      </c>
      <c r="F83" s="681"/>
    </row>
    <row r="84" spans="1:6" s="12" customFormat="1" ht="23.25" customHeight="1">
      <c r="A84" s="380"/>
      <c r="B84" s="381" t="s">
        <v>164</v>
      </c>
      <c r="C84" s="382" t="s">
        <v>13</v>
      </c>
      <c r="D84" s="665">
        <v>66.7</v>
      </c>
      <c r="E84" s="665">
        <v>67</v>
      </c>
      <c r="F84" s="703">
        <f>E84-D84</f>
        <v>0.29999999999999716</v>
      </c>
    </row>
    <row r="85" spans="1:6" s="13" customFormat="1" ht="38.25" customHeight="1">
      <c r="A85" s="380"/>
      <c r="B85" s="381" t="s">
        <v>165</v>
      </c>
      <c r="C85" s="382" t="s">
        <v>13</v>
      </c>
      <c r="D85" s="665">
        <v>19.4</v>
      </c>
      <c r="E85" s="665">
        <v>18.7</v>
      </c>
      <c r="F85" s="703">
        <f>E85-D85</f>
        <v>-0.6999999999999993</v>
      </c>
    </row>
    <row r="86" spans="1:6" s="13" customFormat="1" ht="23.25" customHeight="1">
      <c r="A86" s="380" t="s">
        <v>412</v>
      </c>
      <c r="B86" s="656" t="s">
        <v>556</v>
      </c>
      <c r="C86" s="380" t="s">
        <v>150</v>
      </c>
      <c r="D86" s="705">
        <v>54175</v>
      </c>
      <c r="E86" s="706">
        <v>58952</v>
      </c>
      <c r="F86" s="707">
        <f>E86/D86*100</f>
        <v>108.81772035071526</v>
      </c>
    </row>
    <row r="87" spans="1:6" s="11" customFormat="1" ht="23.25" customHeight="1">
      <c r="A87" s="380"/>
      <c r="B87" s="381" t="s">
        <v>385</v>
      </c>
      <c r="C87" s="380" t="s">
        <v>13</v>
      </c>
      <c r="D87" s="664">
        <v>99.7</v>
      </c>
      <c r="E87" s="695">
        <f>E86/E65*100</f>
        <v>100</v>
      </c>
      <c r="F87" s="663">
        <f>E87-D87</f>
        <v>0.29999999999999716</v>
      </c>
    </row>
    <row r="88" spans="1:6" s="11" customFormat="1" ht="21.75" customHeight="1">
      <c r="A88" s="380" t="s">
        <v>481</v>
      </c>
      <c r="B88" s="656" t="s">
        <v>482</v>
      </c>
      <c r="C88" s="380"/>
      <c r="D88" s="675"/>
      <c r="E88" s="708"/>
      <c r="F88" s="709"/>
    </row>
    <row r="89" spans="1:6" s="12" customFormat="1" ht="27.75" customHeight="1">
      <c r="A89" s="382"/>
      <c r="B89" s="477" t="s">
        <v>483</v>
      </c>
      <c r="C89" s="382" t="s">
        <v>13</v>
      </c>
      <c r="D89" s="674">
        <v>76.5</v>
      </c>
      <c r="E89" s="669">
        <v>80</v>
      </c>
      <c r="F89" s="663">
        <f>E89-D89</f>
        <v>3.5</v>
      </c>
    </row>
    <row r="90" spans="1:6" s="12" customFormat="1" ht="25.5" customHeight="1" hidden="1">
      <c r="A90" s="382"/>
      <c r="B90" s="477" t="s">
        <v>484</v>
      </c>
      <c r="C90" s="660" t="s">
        <v>13</v>
      </c>
      <c r="D90" s="674"/>
      <c r="E90" s="669"/>
      <c r="F90" s="667"/>
    </row>
    <row r="91" spans="1:6" s="12" customFormat="1" ht="31.5" customHeight="1">
      <c r="A91" s="382"/>
      <c r="B91" s="477" t="s">
        <v>485</v>
      </c>
      <c r="C91" s="660" t="s">
        <v>150</v>
      </c>
      <c r="D91" s="664">
        <v>136</v>
      </c>
      <c r="E91" s="664">
        <v>136</v>
      </c>
      <c r="F91" s="666">
        <f>E91/D91*100</f>
        <v>100</v>
      </c>
    </row>
    <row r="92" spans="1:6" s="11" customFormat="1" ht="23.25" customHeight="1">
      <c r="A92" s="655" t="s">
        <v>493</v>
      </c>
      <c r="B92" s="478" t="s">
        <v>494</v>
      </c>
      <c r="C92" s="380"/>
      <c r="D92" s="671"/>
      <c r="E92" s="672"/>
      <c r="F92" s="667"/>
    </row>
    <row r="93" spans="1:6" s="12" customFormat="1" ht="23.25" customHeight="1">
      <c r="A93" s="382">
        <v>1</v>
      </c>
      <c r="B93" s="477" t="s">
        <v>486</v>
      </c>
      <c r="C93" s="660" t="s">
        <v>13</v>
      </c>
      <c r="D93" s="674">
        <v>95</v>
      </c>
      <c r="E93" s="669">
        <v>95</v>
      </c>
      <c r="F93" s="667"/>
    </row>
    <row r="94" spans="1:6" s="12" customFormat="1" ht="23.25" customHeight="1">
      <c r="A94" s="382">
        <v>2</v>
      </c>
      <c r="B94" s="477" t="s">
        <v>487</v>
      </c>
      <c r="C94" s="660" t="s">
        <v>13</v>
      </c>
      <c r="D94" s="674">
        <v>95</v>
      </c>
      <c r="E94" s="669">
        <v>95</v>
      </c>
      <c r="F94" s="667"/>
    </row>
    <row r="95" spans="1:6" s="12" customFormat="1" ht="23.25" customHeight="1">
      <c r="A95" s="382">
        <v>3</v>
      </c>
      <c r="B95" s="477" t="s">
        <v>488</v>
      </c>
      <c r="C95" s="660" t="s">
        <v>13</v>
      </c>
      <c r="D95" s="674">
        <v>89.5</v>
      </c>
      <c r="E95" s="669">
        <v>95</v>
      </c>
      <c r="F95" s="663">
        <f>E95-D95</f>
        <v>5.5</v>
      </c>
    </row>
    <row r="96" spans="1:6" s="12" customFormat="1" ht="23.25" customHeight="1">
      <c r="A96" s="382">
        <v>4</v>
      </c>
      <c r="B96" s="477" t="s">
        <v>489</v>
      </c>
      <c r="C96" s="660" t="s">
        <v>13</v>
      </c>
      <c r="D96" s="674">
        <v>92.1</v>
      </c>
      <c r="E96" s="669">
        <v>95</v>
      </c>
      <c r="F96" s="663">
        <f>E96-D96</f>
        <v>2.9000000000000057</v>
      </c>
    </row>
    <row r="97" spans="1:6" s="12" customFormat="1" ht="23.25" customHeight="1">
      <c r="A97" s="382">
        <v>5</v>
      </c>
      <c r="B97" s="477" t="s">
        <v>490</v>
      </c>
      <c r="C97" s="660" t="s">
        <v>13</v>
      </c>
      <c r="D97" s="674"/>
      <c r="E97" s="669">
        <v>50</v>
      </c>
      <c r="F97" s="667"/>
    </row>
    <row r="98" spans="1:6" s="12" customFormat="1" ht="23.25" customHeight="1">
      <c r="A98" s="382">
        <v>6</v>
      </c>
      <c r="B98" s="477" t="s">
        <v>491</v>
      </c>
      <c r="C98" s="660" t="s">
        <v>13</v>
      </c>
      <c r="D98" s="674">
        <v>31.8</v>
      </c>
      <c r="E98" s="669">
        <v>40</v>
      </c>
      <c r="F98" s="663">
        <f>E98-D98</f>
        <v>8.2</v>
      </c>
    </row>
    <row r="99" spans="1:6" s="12" customFormat="1" ht="23.25" customHeight="1">
      <c r="A99" s="382">
        <v>7</v>
      </c>
      <c r="B99" s="477" t="s">
        <v>492</v>
      </c>
      <c r="C99" s="660" t="s">
        <v>13</v>
      </c>
      <c r="D99" s="674">
        <v>75.3</v>
      </c>
      <c r="E99" s="669">
        <v>90</v>
      </c>
      <c r="F99" s="663">
        <f>E99-D99</f>
        <v>14.700000000000003</v>
      </c>
    </row>
  </sheetData>
  <sheetProtection/>
  <mergeCells count="9">
    <mergeCell ref="E5:E7"/>
    <mergeCell ref="A1:B1"/>
    <mergeCell ref="A2:F2"/>
    <mergeCell ref="A5:A7"/>
    <mergeCell ref="B5:B7"/>
    <mergeCell ref="C5:C7"/>
    <mergeCell ref="D5:D7"/>
    <mergeCell ref="A3:F3"/>
    <mergeCell ref="F6:F7"/>
  </mergeCells>
  <printOptions/>
  <pageMargins left="0.75" right="0.5" top="0.5" bottom="0.5" header="0" footer="0"/>
  <pageSetup horizontalDpi="600" verticalDpi="60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1:S131"/>
  <sheetViews>
    <sheetView view="pageBreakPreview" zoomScale="85" zoomScaleSheetLayoutView="85" zoomScalePageLayoutView="0" workbookViewId="0" topLeftCell="A34">
      <selection activeCell="A3" sqref="A3:S3"/>
    </sheetView>
  </sheetViews>
  <sheetFormatPr defaultColWidth="9.140625" defaultRowHeight="12.75"/>
  <cols>
    <col min="1" max="1" width="5.421875" style="91" customWidth="1"/>
    <col min="2" max="2" width="72.140625" style="91" customWidth="1"/>
    <col min="3" max="3" width="9.8515625" style="91" customWidth="1"/>
    <col min="4" max="4" width="9.28125" style="91" customWidth="1"/>
    <col min="5" max="5" width="9.00390625" style="91" customWidth="1"/>
    <col min="6" max="6" width="8.00390625" style="91" customWidth="1"/>
    <col min="7" max="7" width="8.57421875" style="91" customWidth="1"/>
    <col min="8" max="8" width="8.28125" style="91" customWidth="1"/>
    <col min="9" max="9" width="8.421875" style="91" customWidth="1"/>
    <col min="10" max="11" width="9.140625" style="91" customWidth="1"/>
    <col min="12" max="13" width="8.140625" style="91" customWidth="1"/>
    <col min="14" max="14" width="9.140625" style="91" customWidth="1"/>
    <col min="15" max="15" width="9.421875" style="91" customWidth="1"/>
    <col min="16" max="16" width="7.8515625" style="91" customWidth="1"/>
    <col min="17" max="17" width="7.57421875" style="91" customWidth="1"/>
    <col min="18" max="18" width="13.421875" style="91" customWidth="1"/>
    <col min="19" max="19" width="7.140625" style="91" customWidth="1"/>
    <col min="20" max="16384" width="9.140625" style="91" customWidth="1"/>
  </cols>
  <sheetData>
    <row r="1" spans="1:6" ht="15" customHeight="1">
      <c r="A1" s="779" t="s">
        <v>406</v>
      </c>
      <c r="B1" s="779"/>
      <c r="C1" s="779"/>
      <c r="D1" s="779"/>
      <c r="E1" s="779"/>
      <c r="F1" s="779"/>
    </row>
    <row r="2" spans="1:18" ht="22.5" customHeight="1">
      <c r="A2" s="774" t="s">
        <v>608</v>
      </c>
      <c r="B2" s="774"/>
      <c r="C2" s="774"/>
      <c r="D2" s="774"/>
      <c r="E2" s="774"/>
      <c r="F2" s="774"/>
      <c r="G2" s="774"/>
      <c r="H2" s="774"/>
      <c r="I2" s="774"/>
      <c r="J2" s="774"/>
      <c r="K2" s="774"/>
      <c r="L2" s="774"/>
      <c r="M2" s="774"/>
      <c r="N2" s="774"/>
      <c r="O2" s="774"/>
      <c r="P2" s="774"/>
      <c r="Q2" s="774"/>
      <c r="R2" s="774"/>
    </row>
    <row r="3" spans="1:19" ht="20.25" customHeight="1">
      <c r="A3" s="775" t="s">
        <v>755</v>
      </c>
      <c r="B3" s="775"/>
      <c r="C3" s="775"/>
      <c r="D3" s="775"/>
      <c r="E3" s="775"/>
      <c r="F3" s="775"/>
      <c r="G3" s="775"/>
      <c r="H3" s="775"/>
      <c r="I3" s="775"/>
      <c r="J3" s="775"/>
      <c r="K3" s="775"/>
      <c r="L3" s="775"/>
      <c r="M3" s="775"/>
      <c r="N3" s="775"/>
      <c r="O3" s="775"/>
      <c r="P3" s="775"/>
      <c r="Q3" s="775"/>
      <c r="R3" s="775"/>
      <c r="S3" s="775"/>
    </row>
    <row r="4" spans="1:6" ht="15.75">
      <c r="A4" s="90"/>
      <c r="B4" s="90"/>
      <c r="C4" s="90"/>
      <c r="D4" s="93"/>
      <c r="E4" s="93"/>
      <c r="F4" s="93"/>
    </row>
    <row r="5" spans="1:18" s="94" customFormat="1" ht="27.75" customHeight="1">
      <c r="A5" s="780" t="s">
        <v>4</v>
      </c>
      <c r="B5" s="780" t="s">
        <v>166</v>
      </c>
      <c r="C5" s="780" t="s">
        <v>47</v>
      </c>
      <c r="D5" s="780" t="s">
        <v>607</v>
      </c>
      <c r="E5" s="767" t="s">
        <v>581</v>
      </c>
      <c r="F5" s="767"/>
      <c r="G5" s="767"/>
      <c r="H5" s="767"/>
      <c r="I5" s="767"/>
      <c r="J5" s="767"/>
      <c r="K5" s="767"/>
      <c r="L5" s="767"/>
      <c r="M5" s="767"/>
      <c r="N5" s="767"/>
      <c r="O5" s="767"/>
      <c r="P5" s="767"/>
      <c r="Q5" s="767"/>
      <c r="R5" s="133" t="s">
        <v>1</v>
      </c>
    </row>
    <row r="6" spans="1:18" s="94" customFormat="1" ht="19.5" customHeight="1">
      <c r="A6" s="780"/>
      <c r="B6" s="780"/>
      <c r="C6" s="780"/>
      <c r="D6" s="780"/>
      <c r="E6" s="781" t="s">
        <v>433</v>
      </c>
      <c r="F6" s="776" t="s">
        <v>195</v>
      </c>
      <c r="G6" s="777"/>
      <c r="H6" s="777"/>
      <c r="I6" s="777"/>
      <c r="J6" s="777"/>
      <c r="K6" s="777"/>
      <c r="L6" s="777"/>
      <c r="M6" s="777"/>
      <c r="N6" s="777"/>
      <c r="O6" s="777"/>
      <c r="P6" s="777"/>
      <c r="Q6" s="778"/>
      <c r="R6" s="772" t="s">
        <v>582</v>
      </c>
    </row>
    <row r="7" spans="1:18" s="94" customFormat="1" ht="60" customHeight="1">
      <c r="A7" s="780"/>
      <c r="B7" s="780"/>
      <c r="C7" s="780"/>
      <c r="D7" s="780"/>
      <c r="E7" s="781"/>
      <c r="F7" s="299" t="s">
        <v>398</v>
      </c>
      <c r="G7" s="299" t="s">
        <v>448</v>
      </c>
      <c r="H7" s="299" t="s">
        <v>456</v>
      </c>
      <c r="I7" s="299" t="s">
        <v>447</v>
      </c>
      <c r="J7" s="299" t="s">
        <v>446</v>
      </c>
      <c r="K7" s="299" t="s">
        <v>449</v>
      </c>
      <c r="L7" s="299" t="s">
        <v>450</v>
      </c>
      <c r="M7" s="299" t="s">
        <v>451</v>
      </c>
      <c r="N7" s="299" t="s">
        <v>452</v>
      </c>
      <c r="O7" s="299" t="s">
        <v>453</v>
      </c>
      <c r="P7" s="299" t="s">
        <v>454</v>
      </c>
      <c r="Q7" s="299" t="s">
        <v>455</v>
      </c>
      <c r="R7" s="773"/>
    </row>
    <row r="8" spans="1:18" s="94" customFormat="1" ht="24" customHeight="1">
      <c r="A8" s="383" t="s">
        <v>189</v>
      </c>
      <c r="B8" s="384" t="s">
        <v>378</v>
      </c>
      <c r="C8" s="300"/>
      <c r="D8" s="385"/>
      <c r="E8" s="385"/>
      <c r="F8" s="385"/>
      <c r="G8" s="385"/>
      <c r="H8" s="385"/>
      <c r="I8" s="385"/>
      <c r="J8" s="385"/>
      <c r="K8" s="385"/>
      <c r="L8" s="385"/>
      <c r="M8" s="385"/>
      <c r="N8" s="385"/>
      <c r="O8" s="385"/>
      <c r="P8" s="385"/>
      <c r="Q8" s="385"/>
      <c r="R8" s="385"/>
    </row>
    <row r="9" spans="1:18" ht="24.75" customHeight="1">
      <c r="A9" s="386" t="s">
        <v>180</v>
      </c>
      <c r="B9" s="387" t="s">
        <v>703</v>
      </c>
      <c r="C9" s="388"/>
      <c r="D9" s="389"/>
      <c r="E9" s="390"/>
      <c r="F9" s="391"/>
      <c r="G9" s="391"/>
      <c r="H9" s="391"/>
      <c r="I9" s="391"/>
      <c r="J9" s="391"/>
      <c r="K9" s="391"/>
      <c r="L9" s="391"/>
      <c r="M9" s="391"/>
      <c r="N9" s="391"/>
      <c r="O9" s="391"/>
      <c r="P9" s="391"/>
      <c r="Q9" s="391"/>
      <c r="R9" s="391"/>
    </row>
    <row r="10" spans="1:18" ht="24" customHeight="1" hidden="1">
      <c r="A10" s="386"/>
      <c r="B10" s="387"/>
      <c r="C10" s="388"/>
      <c r="D10" s="389"/>
      <c r="E10" s="392">
        <f>SUM(F10:Q10)</f>
        <v>11556</v>
      </c>
      <c r="F10" s="228">
        <v>2095</v>
      </c>
      <c r="G10" s="228">
        <v>1015</v>
      </c>
      <c r="H10" s="228">
        <v>1415</v>
      </c>
      <c r="I10" s="228">
        <v>787</v>
      </c>
      <c r="J10" s="228">
        <v>1044</v>
      </c>
      <c r="K10" s="228">
        <v>1254</v>
      </c>
      <c r="L10" s="228">
        <v>629</v>
      </c>
      <c r="M10" s="228">
        <v>749</v>
      </c>
      <c r="N10" s="228">
        <v>476</v>
      </c>
      <c r="O10" s="228">
        <v>702</v>
      </c>
      <c r="P10" s="228">
        <v>873</v>
      </c>
      <c r="Q10" s="228">
        <v>517</v>
      </c>
      <c r="R10" s="391"/>
    </row>
    <row r="11" spans="1:18" ht="24.75" customHeight="1">
      <c r="A11" s="393" t="s">
        <v>272</v>
      </c>
      <c r="B11" s="394" t="s">
        <v>704</v>
      </c>
      <c r="C11" s="395" t="s">
        <v>176</v>
      </c>
      <c r="D11" s="396">
        <v>8102</v>
      </c>
      <c r="E11" s="392">
        <f>SUM(F11:Q11)</f>
        <v>9866</v>
      </c>
      <c r="F11" s="228">
        <v>1886</v>
      </c>
      <c r="G11" s="228">
        <v>892</v>
      </c>
      <c r="H11" s="228">
        <v>1174</v>
      </c>
      <c r="I11" s="228">
        <v>669</v>
      </c>
      <c r="J11" s="228">
        <v>887</v>
      </c>
      <c r="K11" s="228">
        <v>1053</v>
      </c>
      <c r="L11" s="228">
        <v>535</v>
      </c>
      <c r="M11" s="228">
        <v>614</v>
      </c>
      <c r="N11" s="228">
        <v>381</v>
      </c>
      <c r="O11" s="228">
        <v>604</v>
      </c>
      <c r="P11" s="228">
        <v>742</v>
      </c>
      <c r="Q11" s="228">
        <v>429</v>
      </c>
      <c r="R11" s="402">
        <f>E11/D11*100</f>
        <v>121.77240187607998</v>
      </c>
    </row>
    <row r="12" spans="1:18" ht="24.75" customHeight="1">
      <c r="A12" s="393" t="s">
        <v>276</v>
      </c>
      <c r="B12" s="394" t="s">
        <v>705</v>
      </c>
      <c r="C12" s="395" t="s">
        <v>176</v>
      </c>
      <c r="D12" s="396">
        <v>7346</v>
      </c>
      <c r="E12" s="392">
        <f>SUM(F12:Q12)</f>
        <v>9244</v>
      </c>
      <c r="F12" s="398">
        <v>1756</v>
      </c>
      <c r="G12" s="398">
        <v>825</v>
      </c>
      <c r="H12" s="398">
        <v>1146</v>
      </c>
      <c r="I12" s="398">
        <v>645</v>
      </c>
      <c r="J12" s="398">
        <v>835</v>
      </c>
      <c r="K12" s="398">
        <v>991</v>
      </c>
      <c r="L12" s="398">
        <v>497</v>
      </c>
      <c r="M12" s="398">
        <v>577</v>
      </c>
      <c r="N12" s="398">
        <v>357</v>
      </c>
      <c r="O12" s="398">
        <v>555</v>
      </c>
      <c r="P12" s="398">
        <v>672</v>
      </c>
      <c r="Q12" s="398">
        <v>388</v>
      </c>
      <c r="R12" s="402">
        <f>E12/D12*100</f>
        <v>125.83719030765042</v>
      </c>
    </row>
    <row r="13" spans="1:18" ht="24.75" customHeight="1">
      <c r="A13" s="393"/>
      <c r="B13" s="394" t="s">
        <v>706</v>
      </c>
      <c r="C13" s="395" t="s">
        <v>13</v>
      </c>
      <c r="D13" s="400">
        <v>64.42</v>
      </c>
      <c r="E13" s="398">
        <f>9244/11556*100</f>
        <v>79.99307718933886</v>
      </c>
      <c r="F13" s="401">
        <f aca="true" t="shared" si="0" ref="F13:Q13">F12/F10*100</f>
        <v>83.81861575178998</v>
      </c>
      <c r="G13" s="401">
        <f t="shared" si="0"/>
        <v>81.2807881773399</v>
      </c>
      <c r="H13" s="401">
        <f t="shared" si="0"/>
        <v>80.98939929328623</v>
      </c>
      <c r="I13" s="401">
        <f t="shared" si="0"/>
        <v>81.95679796696315</v>
      </c>
      <c r="J13" s="401">
        <f t="shared" si="0"/>
        <v>79.98084291187739</v>
      </c>
      <c r="K13" s="401">
        <f t="shared" si="0"/>
        <v>79.02711323763955</v>
      </c>
      <c r="L13" s="401">
        <f t="shared" si="0"/>
        <v>79.01430842607313</v>
      </c>
      <c r="M13" s="401">
        <f t="shared" si="0"/>
        <v>77.03604806408545</v>
      </c>
      <c r="N13" s="401">
        <f t="shared" si="0"/>
        <v>75</v>
      </c>
      <c r="O13" s="401">
        <f t="shared" si="0"/>
        <v>79.05982905982906</v>
      </c>
      <c r="P13" s="401">
        <f t="shared" si="0"/>
        <v>76.97594501718214</v>
      </c>
      <c r="Q13" s="401">
        <f t="shared" si="0"/>
        <v>75.04835589941973</v>
      </c>
      <c r="R13" s="402">
        <f>E13-D13</f>
        <v>15.57307718933886</v>
      </c>
    </row>
    <row r="14" spans="1:18" ht="24.75" customHeight="1">
      <c r="A14" s="393" t="s">
        <v>268</v>
      </c>
      <c r="B14" s="394" t="s">
        <v>707</v>
      </c>
      <c r="C14" s="395" t="s">
        <v>708</v>
      </c>
      <c r="D14" s="396">
        <v>121</v>
      </c>
      <c r="E14" s="392">
        <f>SUM(F14:Q14)</f>
        <v>115</v>
      </c>
      <c r="F14" s="397">
        <v>8</v>
      </c>
      <c r="G14" s="397">
        <v>23</v>
      </c>
      <c r="H14" s="397">
        <v>11</v>
      </c>
      <c r="I14" s="397">
        <v>8</v>
      </c>
      <c r="J14" s="397">
        <v>8</v>
      </c>
      <c r="K14" s="397">
        <v>12</v>
      </c>
      <c r="L14" s="397">
        <v>7</v>
      </c>
      <c r="M14" s="397">
        <v>8</v>
      </c>
      <c r="N14" s="397">
        <v>5</v>
      </c>
      <c r="O14" s="397">
        <v>7</v>
      </c>
      <c r="P14" s="397">
        <v>11</v>
      </c>
      <c r="Q14" s="397">
        <v>7</v>
      </c>
      <c r="R14" s="402">
        <f>E14/D14*100</f>
        <v>95.0413223140496</v>
      </c>
    </row>
    <row r="15" spans="1:18" s="121" customFormat="1" ht="24.75" customHeight="1">
      <c r="A15" s="403" t="s">
        <v>269</v>
      </c>
      <c r="B15" s="404" t="s">
        <v>709</v>
      </c>
      <c r="C15" s="395" t="s">
        <v>708</v>
      </c>
      <c r="D15" s="396">
        <v>119</v>
      </c>
      <c r="E15" s="392">
        <f>SUM(F15:Q15)</f>
        <v>95</v>
      </c>
      <c r="F15" s="397">
        <v>6</v>
      </c>
      <c r="G15" s="397">
        <v>19</v>
      </c>
      <c r="H15" s="397">
        <v>9</v>
      </c>
      <c r="I15" s="397">
        <v>7</v>
      </c>
      <c r="J15" s="397">
        <v>6</v>
      </c>
      <c r="K15" s="397">
        <v>10</v>
      </c>
      <c r="L15" s="397">
        <v>6</v>
      </c>
      <c r="M15" s="397">
        <v>7</v>
      </c>
      <c r="N15" s="397">
        <v>4</v>
      </c>
      <c r="O15" s="397">
        <v>6</v>
      </c>
      <c r="P15" s="397">
        <v>9</v>
      </c>
      <c r="Q15" s="397">
        <v>6</v>
      </c>
      <c r="R15" s="402">
        <f>E15/D15*100</f>
        <v>79.83193277310924</v>
      </c>
    </row>
    <row r="16" spans="1:18" s="121" customFormat="1" ht="24.75" customHeight="1">
      <c r="A16" s="403" t="s">
        <v>289</v>
      </c>
      <c r="B16" s="404" t="s">
        <v>710</v>
      </c>
      <c r="C16" s="405" t="s">
        <v>13</v>
      </c>
      <c r="D16" s="406">
        <f>D15/143*100</f>
        <v>83.21678321678321</v>
      </c>
      <c r="E16" s="411">
        <f>E15/E17*100</f>
        <v>78.51239669421489</v>
      </c>
      <c r="F16" s="407">
        <f>F15/F17*100</f>
        <v>75</v>
      </c>
      <c r="G16" s="408">
        <f aca="true" t="shared" si="1" ref="G16:Q16">G15/G17*100</f>
        <v>82.6086956521739</v>
      </c>
      <c r="H16" s="407">
        <f t="shared" si="1"/>
        <v>75</v>
      </c>
      <c r="I16" s="408">
        <f t="shared" si="1"/>
        <v>87.5</v>
      </c>
      <c r="J16" s="408">
        <f t="shared" si="1"/>
        <v>66.66666666666666</v>
      </c>
      <c r="K16" s="408">
        <f t="shared" si="1"/>
        <v>76.92307692307693</v>
      </c>
      <c r="L16" s="407">
        <f t="shared" si="1"/>
        <v>75</v>
      </c>
      <c r="M16" s="408">
        <f t="shared" si="1"/>
        <v>77.77777777777779</v>
      </c>
      <c r="N16" s="408">
        <f t="shared" si="1"/>
        <v>66.66666666666666</v>
      </c>
      <c r="O16" s="408">
        <f t="shared" si="1"/>
        <v>85.71428571428571</v>
      </c>
      <c r="P16" s="408">
        <f t="shared" si="1"/>
        <v>81.81818181818183</v>
      </c>
      <c r="Q16" s="408">
        <f t="shared" si="1"/>
        <v>85.71428571428571</v>
      </c>
      <c r="R16" s="408">
        <f>E16-D16</f>
        <v>-4.704386522568328</v>
      </c>
    </row>
    <row r="17" spans="1:18" s="121" customFormat="1" ht="24.75" customHeight="1">
      <c r="A17" s="403"/>
      <c r="B17" s="409" t="s">
        <v>495</v>
      </c>
      <c r="C17" s="395" t="s">
        <v>708</v>
      </c>
      <c r="D17" s="396">
        <v>143</v>
      </c>
      <c r="E17" s="396">
        <f>SUM(F17:Q17)</f>
        <v>121</v>
      </c>
      <c r="F17" s="407">
        <v>8</v>
      </c>
      <c r="G17" s="407">
        <v>23</v>
      </c>
      <c r="H17" s="407">
        <v>12</v>
      </c>
      <c r="I17" s="407">
        <v>8</v>
      </c>
      <c r="J17" s="407">
        <v>9</v>
      </c>
      <c r="K17" s="407">
        <v>13</v>
      </c>
      <c r="L17" s="407">
        <v>8</v>
      </c>
      <c r="M17" s="407">
        <v>9</v>
      </c>
      <c r="N17" s="407">
        <v>6</v>
      </c>
      <c r="O17" s="407">
        <v>7</v>
      </c>
      <c r="P17" s="407">
        <v>11</v>
      </c>
      <c r="Q17" s="407">
        <v>7</v>
      </c>
      <c r="R17" s="426">
        <f>E17/D17*100</f>
        <v>84.61538461538461</v>
      </c>
    </row>
    <row r="18" spans="1:18" ht="24.75" customHeight="1">
      <c r="A18" s="393" t="s">
        <v>291</v>
      </c>
      <c r="B18" s="410" t="s">
        <v>711</v>
      </c>
      <c r="C18" s="395" t="s">
        <v>306</v>
      </c>
      <c r="D18" s="396">
        <v>76</v>
      </c>
      <c r="E18" s="392">
        <v>120</v>
      </c>
      <c r="F18" s="399"/>
      <c r="G18" s="399"/>
      <c r="H18" s="399"/>
      <c r="I18" s="399"/>
      <c r="J18" s="399"/>
      <c r="K18" s="399"/>
      <c r="L18" s="399"/>
      <c r="M18" s="399"/>
      <c r="N18" s="399"/>
      <c r="O18" s="399"/>
      <c r="P18" s="399"/>
      <c r="Q18" s="399"/>
      <c r="R18" s="402">
        <f>E18/D18*100</f>
        <v>157.89473684210526</v>
      </c>
    </row>
    <row r="19" spans="1:18" ht="24.75" customHeight="1">
      <c r="A19" s="393" t="s">
        <v>294</v>
      </c>
      <c r="B19" s="410" t="s">
        <v>712</v>
      </c>
      <c r="C19" s="395" t="s">
        <v>306</v>
      </c>
      <c r="D19" s="396"/>
      <c r="E19" s="392">
        <v>105</v>
      </c>
      <c r="F19" s="399"/>
      <c r="G19" s="399"/>
      <c r="H19" s="399"/>
      <c r="I19" s="399"/>
      <c r="J19" s="399"/>
      <c r="K19" s="399"/>
      <c r="L19" s="399"/>
      <c r="M19" s="399"/>
      <c r="N19" s="399"/>
      <c r="O19" s="399"/>
      <c r="P19" s="399"/>
      <c r="Q19" s="399"/>
      <c r="R19" s="402"/>
    </row>
    <row r="20" spans="1:18" ht="36.75" customHeight="1">
      <c r="A20" s="393"/>
      <c r="B20" s="394" t="s">
        <v>713</v>
      </c>
      <c r="C20" s="395" t="s">
        <v>13</v>
      </c>
      <c r="D20" s="406"/>
      <c r="E20" s="411">
        <f>E19/123*100</f>
        <v>85.36585365853658</v>
      </c>
      <c r="F20" s="399"/>
      <c r="G20" s="399"/>
      <c r="H20" s="399"/>
      <c r="I20" s="399"/>
      <c r="J20" s="399"/>
      <c r="K20" s="399"/>
      <c r="L20" s="399"/>
      <c r="M20" s="399"/>
      <c r="N20" s="399"/>
      <c r="O20" s="399"/>
      <c r="P20" s="399"/>
      <c r="Q20" s="399"/>
      <c r="R20" s="402"/>
    </row>
    <row r="21" spans="1:18" ht="24.75" customHeight="1">
      <c r="A21" s="393" t="s">
        <v>297</v>
      </c>
      <c r="B21" s="410" t="s">
        <v>714</v>
      </c>
      <c r="C21" s="395" t="s">
        <v>145</v>
      </c>
      <c r="D21" s="396">
        <v>1</v>
      </c>
      <c r="E21" s="392">
        <v>1</v>
      </c>
      <c r="F21" s="397"/>
      <c r="G21" s="397">
        <v>1</v>
      </c>
      <c r="H21" s="397"/>
      <c r="I21" s="397"/>
      <c r="J21" s="397"/>
      <c r="K21" s="397"/>
      <c r="L21" s="397"/>
      <c r="M21" s="397"/>
      <c r="N21" s="397"/>
      <c r="O21" s="397"/>
      <c r="P21" s="397"/>
      <c r="Q21" s="397"/>
      <c r="R21" s="397">
        <f>E21/D21*100</f>
        <v>100</v>
      </c>
    </row>
    <row r="22" spans="1:18" ht="24.75" customHeight="1">
      <c r="A22" s="393" t="s">
        <v>299</v>
      </c>
      <c r="B22" s="410" t="s">
        <v>715</v>
      </c>
      <c r="C22" s="395" t="s">
        <v>145</v>
      </c>
      <c r="D22" s="396"/>
      <c r="E22" s="392">
        <v>1</v>
      </c>
      <c r="F22" s="397"/>
      <c r="G22" s="397">
        <v>1</v>
      </c>
      <c r="H22" s="397"/>
      <c r="I22" s="397"/>
      <c r="J22" s="397"/>
      <c r="K22" s="397"/>
      <c r="L22" s="397"/>
      <c r="M22" s="397"/>
      <c r="N22" s="397"/>
      <c r="O22" s="397"/>
      <c r="P22" s="397"/>
      <c r="Q22" s="397"/>
      <c r="R22" s="402"/>
    </row>
    <row r="23" spans="1:18" ht="24.75" customHeight="1">
      <c r="A23" s="393"/>
      <c r="B23" s="410" t="s">
        <v>716</v>
      </c>
      <c r="C23" s="395" t="s">
        <v>13</v>
      </c>
      <c r="D23" s="406"/>
      <c r="E23" s="482">
        <f>1/12*100</f>
        <v>8.333333333333332</v>
      </c>
      <c r="F23" s="397"/>
      <c r="G23" s="397">
        <v>1</v>
      </c>
      <c r="H23" s="397"/>
      <c r="I23" s="397"/>
      <c r="J23" s="397"/>
      <c r="K23" s="397"/>
      <c r="L23" s="397"/>
      <c r="M23" s="397"/>
      <c r="N23" s="397"/>
      <c r="O23" s="397"/>
      <c r="P23" s="397"/>
      <c r="Q23" s="397"/>
      <c r="R23" s="402">
        <f>E23-D23</f>
        <v>8.333333333333332</v>
      </c>
    </row>
    <row r="24" spans="1:18" ht="24.75" customHeight="1" hidden="1">
      <c r="A24" s="393" t="s">
        <v>629</v>
      </c>
      <c r="B24" s="394" t="s">
        <v>628</v>
      </c>
      <c r="C24" s="412" t="s">
        <v>307</v>
      </c>
      <c r="D24" s="396"/>
      <c r="E24" s="392">
        <v>0</v>
      </c>
      <c r="F24" s="399"/>
      <c r="G24" s="399"/>
      <c r="H24" s="399"/>
      <c r="I24" s="399"/>
      <c r="J24" s="399"/>
      <c r="K24" s="399"/>
      <c r="L24" s="399"/>
      <c r="M24" s="399"/>
      <c r="N24" s="399"/>
      <c r="O24" s="399"/>
      <c r="P24" s="399"/>
      <c r="Q24" s="399"/>
      <c r="R24" s="402"/>
    </row>
    <row r="25" spans="1:18" ht="24.75" customHeight="1" hidden="1">
      <c r="A25" s="393"/>
      <c r="B25" s="413" t="s">
        <v>630</v>
      </c>
      <c r="C25" s="412" t="s">
        <v>13</v>
      </c>
      <c r="D25" s="396"/>
      <c r="E25" s="392">
        <v>0</v>
      </c>
      <c r="F25" s="399"/>
      <c r="G25" s="399"/>
      <c r="H25" s="399"/>
      <c r="I25" s="399"/>
      <c r="J25" s="399"/>
      <c r="K25" s="399"/>
      <c r="L25" s="399"/>
      <c r="M25" s="399"/>
      <c r="N25" s="399"/>
      <c r="O25" s="399"/>
      <c r="P25" s="399"/>
      <c r="Q25" s="399"/>
      <c r="R25" s="402"/>
    </row>
    <row r="26" spans="1:18" ht="24.75" customHeight="1">
      <c r="A26" s="386" t="s">
        <v>185</v>
      </c>
      <c r="B26" s="387" t="s">
        <v>267</v>
      </c>
      <c r="C26" s="388"/>
      <c r="D26" s="396"/>
      <c r="E26" s="392"/>
      <c r="F26" s="399"/>
      <c r="G26" s="399"/>
      <c r="H26" s="399"/>
      <c r="I26" s="399"/>
      <c r="J26" s="399"/>
      <c r="K26" s="399"/>
      <c r="L26" s="399"/>
      <c r="M26" s="399"/>
      <c r="N26" s="399"/>
      <c r="O26" s="399"/>
      <c r="P26" s="399"/>
      <c r="Q26" s="399"/>
      <c r="R26" s="402"/>
    </row>
    <row r="27" spans="1:18" ht="54.75" customHeight="1">
      <c r="A27" s="383" t="s">
        <v>272</v>
      </c>
      <c r="B27" s="394" t="s">
        <v>718</v>
      </c>
      <c r="C27" s="395" t="s">
        <v>717</v>
      </c>
      <c r="D27" s="396">
        <v>3</v>
      </c>
      <c r="E27" s="392">
        <v>3</v>
      </c>
      <c r="F27" s="399"/>
      <c r="G27" s="397">
        <v>1</v>
      </c>
      <c r="H27" s="397"/>
      <c r="I27" s="397">
        <v>1</v>
      </c>
      <c r="J27" s="397"/>
      <c r="K27" s="397"/>
      <c r="L27" s="397"/>
      <c r="M27" s="397"/>
      <c r="N27" s="397"/>
      <c r="O27" s="397"/>
      <c r="P27" s="397">
        <v>1</v>
      </c>
      <c r="Q27" s="399"/>
      <c r="R27" s="397">
        <f>E27/D27*100</f>
        <v>100</v>
      </c>
    </row>
    <row r="28" spans="1:18" ht="36.75" customHeight="1">
      <c r="A28" s="393"/>
      <c r="B28" s="394" t="s">
        <v>631</v>
      </c>
      <c r="C28" s="395" t="s">
        <v>13</v>
      </c>
      <c r="D28" s="396">
        <f>D27/12*100</f>
        <v>25</v>
      </c>
      <c r="E28" s="392">
        <f>E27/12*100</f>
        <v>25</v>
      </c>
      <c r="F28" s="399"/>
      <c r="G28" s="397">
        <v>100</v>
      </c>
      <c r="H28" s="402"/>
      <c r="I28" s="397">
        <v>100</v>
      </c>
      <c r="J28" s="399"/>
      <c r="K28" s="399"/>
      <c r="L28" s="399"/>
      <c r="M28" s="399"/>
      <c r="N28" s="399"/>
      <c r="O28" s="399"/>
      <c r="P28" s="397">
        <v>100</v>
      </c>
      <c r="Q28" s="399"/>
      <c r="R28" s="402"/>
    </row>
    <row r="29" spans="1:18" ht="24.75" customHeight="1">
      <c r="A29" s="393" t="s">
        <v>276</v>
      </c>
      <c r="B29" s="394" t="s">
        <v>719</v>
      </c>
      <c r="C29" s="395" t="s">
        <v>720</v>
      </c>
      <c r="D29" s="396">
        <v>15</v>
      </c>
      <c r="E29" s="392">
        <f>SUM(G29:P29)</f>
        <v>11</v>
      </c>
      <c r="F29" s="399"/>
      <c r="G29" s="397">
        <v>3</v>
      </c>
      <c r="H29" s="397"/>
      <c r="I29" s="397">
        <v>4</v>
      </c>
      <c r="J29" s="399"/>
      <c r="K29" s="399"/>
      <c r="L29" s="399"/>
      <c r="M29" s="399"/>
      <c r="N29" s="399"/>
      <c r="O29" s="399"/>
      <c r="P29" s="397">
        <v>4</v>
      </c>
      <c r="Q29" s="399"/>
      <c r="R29" s="402">
        <f>E29/D29*100</f>
        <v>73.33333333333333</v>
      </c>
    </row>
    <row r="30" spans="1:18" s="121" customFormat="1" ht="24.75" customHeight="1">
      <c r="A30" s="403"/>
      <c r="B30" s="404" t="s">
        <v>632</v>
      </c>
      <c r="C30" s="405" t="s">
        <v>13</v>
      </c>
      <c r="D30" s="406">
        <f>D29/143*100</f>
        <v>10.48951048951049</v>
      </c>
      <c r="E30" s="406">
        <f>E29/121*100</f>
        <v>9.090909090909092</v>
      </c>
      <c r="F30" s="399"/>
      <c r="G30" s="397">
        <f>G29/G17*100</f>
        <v>13.043478260869565</v>
      </c>
      <c r="H30" s="399"/>
      <c r="I30" s="397">
        <f>I29/I17*100</f>
        <v>50</v>
      </c>
      <c r="J30" s="399"/>
      <c r="K30" s="399"/>
      <c r="L30" s="399"/>
      <c r="M30" s="399"/>
      <c r="N30" s="399"/>
      <c r="O30" s="399"/>
      <c r="P30" s="399">
        <f>P29/P17*100</f>
        <v>36.36363636363637</v>
      </c>
      <c r="Q30" s="399"/>
      <c r="R30" s="399">
        <f>E30-D30</f>
        <v>-1.3986013986013983</v>
      </c>
    </row>
    <row r="31" spans="1:18" ht="39" customHeight="1">
      <c r="A31" s="393" t="s">
        <v>268</v>
      </c>
      <c r="B31" s="394" t="s">
        <v>633</v>
      </c>
      <c r="C31" s="395" t="s">
        <v>13</v>
      </c>
      <c r="D31" s="396">
        <v>100</v>
      </c>
      <c r="E31" s="392">
        <v>100</v>
      </c>
      <c r="F31" s="392">
        <v>100</v>
      </c>
      <c r="G31" s="392">
        <v>100</v>
      </c>
      <c r="H31" s="392">
        <v>100</v>
      </c>
      <c r="I31" s="392">
        <v>100</v>
      </c>
      <c r="J31" s="392">
        <v>100</v>
      </c>
      <c r="K31" s="392">
        <v>100</v>
      </c>
      <c r="L31" s="392">
        <v>100</v>
      </c>
      <c r="M31" s="392">
        <v>100</v>
      </c>
      <c r="N31" s="392">
        <v>100</v>
      </c>
      <c r="O31" s="392">
        <v>100</v>
      </c>
      <c r="P31" s="392">
        <v>100</v>
      </c>
      <c r="Q31" s="392">
        <v>100</v>
      </c>
      <c r="R31" s="402"/>
    </row>
    <row r="32" spans="1:18" ht="24.75" customHeight="1">
      <c r="A32" s="383" t="s">
        <v>186</v>
      </c>
      <c r="B32" s="387" t="s">
        <v>386</v>
      </c>
      <c r="C32" s="388"/>
      <c r="D32" s="396"/>
      <c r="E32" s="392"/>
      <c r="F32" s="399"/>
      <c r="G32" s="399"/>
      <c r="H32" s="399"/>
      <c r="I32" s="399"/>
      <c r="J32" s="399"/>
      <c r="K32" s="399"/>
      <c r="L32" s="399"/>
      <c r="M32" s="399"/>
      <c r="N32" s="399"/>
      <c r="O32" s="399"/>
      <c r="P32" s="399"/>
      <c r="Q32" s="399"/>
      <c r="R32" s="402"/>
    </row>
    <row r="33" spans="1:18" ht="24.75" customHeight="1">
      <c r="A33" s="393" t="s">
        <v>272</v>
      </c>
      <c r="B33" s="394" t="s">
        <v>634</v>
      </c>
      <c r="C33" s="395" t="s">
        <v>336</v>
      </c>
      <c r="D33" s="396">
        <v>0</v>
      </c>
      <c r="E33" s="392">
        <v>1</v>
      </c>
      <c r="F33" s="397">
        <v>1</v>
      </c>
      <c r="G33" s="399"/>
      <c r="H33" s="399"/>
      <c r="I33" s="399"/>
      <c r="J33" s="399"/>
      <c r="K33" s="399"/>
      <c r="L33" s="399"/>
      <c r="M33" s="399"/>
      <c r="N33" s="399"/>
      <c r="O33" s="399"/>
      <c r="P33" s="399"/>
      <c r="Q33" s="399"/>
      <c r="R33" s="402"/>
    </row>
    <row r="34" spans="1:18" ht="24.75" customHeight="1">
      <c r="A34" s="393" t="s">
        <v>276</v>
      </c>
      <c r="B34" s="394" t="s">
        <v>635</v>
      </c>
      <c r="C34" s="395" t="s">
        <v>336</v>
      </c>
      <c r="D34" s="396">
        <v>1</v>
      </c>
      <c r="E34" s="392">
        <v>1</v>
      </c>
      <c r="F34" s="397">
        <v>1</v>
      </c>
      <c r="G34" s="399"/>
      <c r="H34" s="399"/>
      <c r="I34" s="399"/>
      <c r="J34" s="399"/>
      <c r="K34" s="399"/>
      <c r="L34" s="399"/>
      <c r="M34" s="399"/>
      <c r="N34" s="399"/>
      <c r="O34" s="399"/>
      <c r="P34" s="399"/>
      <c r="Q34" s="399"/>
      <c r="R34" s="397">
        <f>E34/D34*100</f>
        <v>100</v>
      </c>
    </row>
    <row r="35" spans="1:18" ht="36" customHeight="1">
      <c r="A35" s="393"/>
      <c r="B35" s="394" t="s">
        <v>636</v>
      </c>
      <c r="C35" s="395" t="s">
        <v>721</v>
      </c>
      <c r="D35" s="396">
        <v>12</v>
      </c>
      <c r="E35" s="392">
        <v>12</v>
      </c>
      <c r="F35" s="397">
        <v>1</v>
      </c>
      <c r="G35" s="397">
        <v>1</v>
      </c>
      <c r="H35" s="397">
        <v>1</v>
      </c>
      <c r="I35" s="397">
        <v>1</v>
      </c>
      <c r="J35" s="397">
        <v>1</v>
      </c>
      <c r="K35" s="397">
        <v>1</v>
      </c>
      <c r="L35" s="397">
        <v>1</v>
      </c>
      <c r="M35" s="397">
        <v>1</v>
      </c>
      <c r="N35" s="397">
        <v>1</v>
      </c>
      <c r="O35" s="397">
        <v>1</v>
      </c>
      <c r="P35" s="397">
        <v>1</v>
      </c>
      <c r="Q35" s="397">
        <v>1</v>
      </c>
      <c r="R35" s="397">
        <f>E35/D35*100</f>
        <v>100</v>
      </c>
    </row>
    <row r="36" spans="1:18" ht="24.75" customHeight="1">
      <c r="A36" s="393" t="s">
        <v>268</v>
      </c>
      <c r="B36" s="394" t="s">
        <v>637</v>
      </c>
      <c r="C36" s="395" t="s">
        <v>145</v>
      </c>
      <c r="D36" s="397">
        <v>8</v>
      </c>
      <c r="E36" s="392">
        <f>SUM(G36:Q36)</f>
        <v>9</v>
      </c>
      <c r="F36" s="399"/>
      <c r="G36" s="397">
        <v>1</v>
      </c>
      <c r="H36" s="397">
        <v>1</v>
      </c>
      <c r="I36" s="397">
        <v>1</v>
      </c>
      <c r="J36" s="397">
        <v>1</v>
      </c>
      <c r="K36" s="397">
        <v>1</v>
      </c>
      <c r="L36" s="397"/>
      <c r="M36" s="397">
        <v>1</v>
      </c>
      <c r="N36" s="397">
        <v>1</v>
      </c>
      <c r="O36" s="397">
        <v>1</v>
      </c>
      <c r="P36" s="397">
        <v>1</v>
      </c>
      <c r="Q36" s="399"/>
      <c r="R36" s="399">
        <f>E36/D36*100</f>
        <v>112.5</v>
      </c>
    </row>
    <row r="37" spans="1:18" ht="24.75" customHeight="1">
      <c r="A37" s="393"/>
      <c r="B37" s="394" t="s">
        <v>638</v>
      </c>
      <c r="C37" s="395" t="s">
        <v>13</v>
      </c>
      <c r="D37" s="406">
        <f>D36/12*100</f>
        <v>66.66666666666666</v>
      </c>
      <c r="E37" s="414">
        <f>E36/E35*100</f>
        <v>75</v>
      </c>
      <c r="F37" s="399"/>
      <c r="G37" s="397">
        <v>100</v>
      </c>
      <c r="H37" s="397">
        <v>100</v>
      </c>
      <c r="I37" s="397">
        <v>100</v>
      </c>
      <c r="J37" s="397">
        <v>100</v>
      </c>
      <c r="K37" s="397">
        <v>100</v>
      </c>
      <c r="L37" s="397"/>
      <c r="M37" s="397">
        <v>100</v>
      </c>
      <c r="N37" s="397">
        <v>100</v>
      </c>
      <c r="O37" s="397">
        <v>100</v>
      </c>
      <c r="P37" s="397">
        <v>100</v>
      </c>
      <c r="Q37" s="399"/>
      <c r="R37" s="402">
        <f>E37-D37</f>
        <v>8.333333333333343</v>
      </c>
    </row>
    <row r="38" spans="1:18" ht="24.75" customHeight="1">
      <c r="A38" s="393" t="s">
        <v>269</v>
      </c>
      <c r="B38" s="394" t="s">
        <v>639</v>
      </c>
      <c r="C38" s="395" t="s">
        <v>145</v>
      </c>
      <c r="D38" s="415">
        <v>12</v>
      </c>
      <c r="E38" s="392">
        <v>12</v>
      </c>
      <c r="F38" s="397">
        <v>1</v>
      </c>
      <c r="G38" s="397">
        <v>1</v>
      </c>
      <c r="H38" s="397">
        <v>1</v>
      </c>
      <c r="I38" s="397">
        <v>1</v>
      </c>
      <c r="J38" s="397">
        <v>1</v>
      </c>
      <c r="K38" s="397">
        <v>1</v>
      </c>
      <c r="L38" s="397">
        <v>1</v>
      </c>
      <c r="M38" s="397">
        <v>1</v>
      </c>
      <c r="N38" s="397">
        <v>1</v>
      </c>
      <c r="O38" s="397">
        <v>1</v>
      </c>
      <c r="P38" s="397">
        <v>1</v>
      </c>
      <c r="Q38" s="397">
        <v>1</v>
      </c>
      <c r="R38" s="397">
        <f>E38/D38*100</f>
        <v>100</v>
      </c>
    </row>
    <row r="39" spans="1:18" ht="24.75" customHeight="1">
      <c r="A39" s="393"/>
      <c r="B39" s="394" t="s">
        <v>640</v>
      </c>
      <c r="C39" s="395" t="s">
        <v>13</v>
      </c>
      <c r="D39" s="396">
        <v>100</v>
      </c>
      <c r="E39" s="416">
        <v>100</v>
      </c>
      <c r="F39" s="416">
        <v>100</v>
      </c>
      <c r="G39" s="416">
        <v>100</v>
      </c>
      <c r="H39" s="416">
        <v>100</v>
      </c>
      <c r="I39" s="416">
        <v>100</v>
      </c>
      <c r="J39" s="416">
        <v>100</v>
      </c>
      <c r="K39" s="416">
        <v>100</v>
      </c>
      <c r="L39" s="416">
        <v>100</v>
      </c>
      <c r="M39" s="416">
        <v>100</v>
      </c>
      <c r="N39" s="416">
        <v>100</v>
      </c>
      <c r="O39" s="416">
        <v>100</v>
      </c>
      <c r="P39" s="416">
        <v>100</v>
      </c>
      <c r="Q39" s="416">
        <v>100</v>
      </c>
      <c r="R39" s="402"/>
    </row>
    <row r="40" spans="1:18" ht="24.75" customHeight="1">
      <c r="A40" s="393" t="s">
        <v>289</v>
      </c>
      <c r="B40" s="394" t="s">
        <v>641</v>
      </c>
      <c r="C40" s="395" t="s">
        <v>145</v>
      </c>
      <c r="D40" s="396">
        <v>1</v>
      </c>
      <c r="E40" s="392">
        <v>1</v>
      </c>
      <c r="F40" s="397">
        <v>1</v>
      </c>
      <c r="G40" s="399"/>
      <c r="H40" s="399"/>
      <c r="I40" s="399"/>
      <c r="J40" s="399"/>
      <c r="K40" s="399"/>
      <c r="L40" s="399"/>
      <c r="M40" s="399"/>
      <c r="N40" s="399"/>
      <c r="O40" s="399"/>
      <c r="P40" s="399"/>
      <c r="Q40" s="399"/>
      <c r="R40" s="397">
        <f>100</f>
        <v>100</v>
      </c>
    </row>
    <row r="41" spans="1:18" ht="24.75" customHeight="1">
      <c r="A41" s="393"/>
      <c r="B41" s="394" t="s">
        <v>642</v>
      </c>
      <c r="C41" s="395" t="s">
        <v>13</v>
      </c>
      <c r="D41" s="400">
        <v>8.33</v>
      </c>
      <c r="E41" s="417">
        <f>1/12*100</f>
        <v>8.333333333333332</v>
      </c>
      <c r="F41" s="402">
        <v>8.33</v>
      </c>
      <c r="G41" s="399"/>
      <c r="H41" s="399"/>
      <c r="I41" s="399"/>
      <c r="J41" s="399"/>
      <c r="K41" s="399"/>
      <c r="L41" s="399"/>
      <c r="M41" s="399"/>
      <c r="N41" s="399"/>
      <c r="O41" s="399"/>
      <c r="P41" s="399"/>
      <c r="Q41" s="399"/>
      <c r="R41" s="402"/>
    </row>
    <row r="42" spans="1:18" ht="37.5" customHeight="1">
      <c r="A42" s="393" t="s">
        <v>291</v>
      </c>
      <c r="B42" s="394" t="s">
        <v>643</v>
      </c>
      <c r="C42" s="395" t="s">
        <v>337</v>
      </c>
      <c r="D42" s="396">
        <v>51</v>
      </c>
      <c r="E42" s="392">
        <f>SUM(F42:Q42)</f>
        <v>60</v>
      </c>
      <c r="F42" s="397">
        <v>6</v>
      </c>
      <c r="G42" s="397">
        <v>12</v>
      </c>
      <c r="H42" s="397">
        <v>9</v>
      </c>
      <c r="I42" s="397">
        <v>4</v>
      </c>
      <c r="J42" s="397">
        <v>5</v>
      </c>
      <c r="K42" s="397">
        <v>10</v>
      </c>
      <c r="L42" s="397">
        <v>1</v>
      </c>
      <c r="M42" s="397">
        <v>2</v>
      </c>
      <c r="N42" s="397">
        <v>1</v>
      </c>
      <c r="O42" s="397">
        <v>5</v>
      </c>
      <c r="P42" s="397">
        <v>1</v>
      </c>
      <c r="Q42" s="397">
        <v>4</v>
      </c>
      <c r="R42" s="402">
        <f>E42/D42*100</f>
        <v>117.64705882352942</v>
      </c>
    </row>
    <row r="43" spans="1:18" ht="24.75" customHeight="1">
      <c r="A43" s="393"/>
      <c r="B43" s="394" t="s">
        <v>722</v>
      </c>
      <c r="C43" s="395" t="s">
        <v>13</v>
      </c>
      <c r="D43" s="400">
        <f>D42/143*100</f>
        <v>35.66433566433567</v>
      </c>
      <c r="E43" s="426">
        <f>E42/121*100</f>
        <v>49.586776859504134</v>
      </c>
      <c r="F43" s="397">
        <f>F42/F17*100</f>
        <v>75</v>
      </c>
      <c r="G43" s="397">
        <f aca="true" t="shared" si="2" ref="G43:Q43">G42/G17*100</f>
        <v>52.17391304347826</v>
      </c>
      <c r="H43" s="397">
        <f t="shared" si="2"/>
        <v>75</v>
      </c>
      <c r="I43" s="397">
        <f t="shared" si="2"/>
        <v>50</v>
      </c>
      <c r="J43" s="397">
        <f t="shared" si="2"/>
        <v>55.55555555555556</v>
      </c>
      <c r="K43" s="397">
        <f t="shared" si="2"/>
        <v>76.92307692307693</v>
      </c>
      <c r="L43" s="397">
        <f t="shared" si="2"/>
        <v>12.5</v>
      </c>
      <c r="M43" s="397">
        <f t="shared" si="2"/>
        <v>22.22222222222222</v>
      </c>
      <c r="N43" s="397">
        <f t="shared" si="2"/>
        <v>16.666666666666664</v>
      </c>
      <c r="O43" s="397">
        <f t="shared" si="2"/>
        <v>71.42857142857143</v>
      </c>
      <c r="P43" s="397">
        <f t="shared" si="2"/>
        <v>9.090909090909092</v>
      </c>
      <c r="Q43" s="397">
        <f t="shared" si="2"/>
        <v>57.14285714285714</v>
      </c>
      <c r="R43" s="402">
        <f>E43-D43</f>
        <v>13.922441195168467</v>
      </c>
    </row>
    <row r="44" spans="1:18" ht="18.75" customHeight="1">
      <c r="A44" s="393" t="s">
        <v>294</v>
      </c>
      <c r="B44" s="394" t="s">
        <v>644</v>
      </c>
      <c r="C44" s="395" t="s">
        <v>337</v>
      </c>
      <c r="D44" s="396">
        <v>7</v>
      </c>
      <c r="E44" s="407">
        <f>SUM(F44:Q44)</f>
        <v>24</v>
      </c>
      <c r="F44" s="397">
        <v>2</v>
      </c>
      <c r="G44" s="397">
        <v>2</v>
      </c>
      <c r="H44" s="397">
        <v>2</v>
      </c>
      <c r="I44" s="397">
        <v>2</v>
      </c>
      <c r="J44" s="397">
        <v>2</v>
      </c>
      <c r="K44" s="397">
        <v>2</v>
      </c>
      <c r="L44" s="397">
        <v>2</v>
      </c>
      <c r="M44" s="397">
        <v>2</v>
      </c>
      <c r="N44" s="397">
        <v>2</v>
      </c>
      <c r="O44" s="397">
        <v>2</v>
      </c>
      <c r="P44" s="397">
        <v>2</v>
      </c>
      <c r="Q44" s="397">
        <v>2</v>
      </c>
      <c r="R44" s="402">
        <f>E44/D44*100</f>
        <v>342.85714285714283</v>
      </c>
    </row>
    <row r="45" spans="1:18" s="121" customFormat="1" ht="24.75" customHeight="1">
      <c r="A45" s="403"/>
      <c r="B45" s="409" t="s">
        <v>387</v>
      </c>
      <c r="C45" s="405" t="s">
        <v>13</v>
      </c>
      <c r="D45" s="406">
        <f>D44/143*100</f>
        <v>4.895104895104895</v>
      </c>
      <c r="E45" s="417">
        <f>E44/121*100</f>
        <v>19.834710743801654</v>
      </c>
      <c r="F45" s="397">
        <f>F44/F17*100</f>
        <v>25</v>
      </c>
      <c r="G45" s="399">
        <f>G44/G17*100</f>
        <v>8.695652173913043</v>
      </c>
      <c r="H45" s="399">
        <f>H44/H17*100</f>
        <v>16.666666666666664</v>
      </c>
      <c r="I45" s="399">
        <f aca="true" t="shared" si="3" ref="I45:Q45">I44/I17*100</f>
        <v>25</v>
      </c>
      <c r="J45" s="399">
        <f t="shared" si="3"/>
        <v>22.22222222222222</v>
      </c>
      <c r="K45" s="399">
        <f t="shared" si="3"/>
        <v>15.384615384615385</v>
      </c>
      <c r="L45" s="399">
        <f t="shared" si="3"/>
        <v>25</v>
      </c>
      <c r="M45" s="399">
        <f t="shared" si="3"/>
        <v>22.22222222222222</v>
      </c>
      <c r="N45" s="399">
        <f t="shared" si="3"/>
        <v>33.33333333333333</v>
      </c>
      <c r="O45" s="399">
        <f t="shared" si="3"/>
        <v>28.57142857142857</v>
      </c>
      <c r="P45" s="399">
        <f t="shared" si="3"/>
        <v>18.181818181818183</v>
      </c>
      <c r="Q45" s="399">
        <f t="shared" si="3"/>
        <v>28.57142857142857</v>
      </c>
      <c r="R45" s="402">
        <f>E45-D45</f>
        <v>14.93960584869676</v>
      </c>
    </row>
    <row r="46" spans="1:18" ht="24.75" customHeight="1">
      <c r="A46" s="383" t="s">
        <v>187</v>
      </c>
      <c r="B46" s="387" t="s">
        <v>270</v>
      </c>
      <c r="C46" s="388"/>
      <c r="D46" s="396"/>
      <c r="E46" s="392"/>
      <c r="F46" s="399"/>
      <c r="G46" s="399"/>
      <c r="H46" s="399"/>
      <c r="I46" s="399"/>
      <c r="J46" s="399"/>
      <c r="K46" s="399"/>
      <c r="L46" s="399"/>
      <c r="M46" s="399"/>
      <c r="N46" s="399"/>
      <c r="O46" s="399"/>
      <c r="P46" s="399"/>
      <c r="Q46" s="399"/>
      <c r="R46" s="402"/>
    </row>
    <row r="47" spans="1:18" ht="33" customHeight="1" hidden="1">
      <c r="A47" s="386"/>
      <c r="B47" s="413" t="s">
        <v>496</v>
      </c>
      <c r="C47" s="395" t="s">
        <v>497</v>
      </c>
      <c r="D47" s="396"/>
      <c r="E47" s="392"/>
      <c r="F47" s="399"/>
      <c r="G47" s="399"/>
      <c r="H47" s="399"/>
      <c r="I47" s="399"/>
      <c r="J47" s="399"/>
      <c r="K47" s="399"/>
      <c r="L47" s="399"/>
      <c r="M47" s="399"/>
      <c r="N47" s="399"/>
      <c r="O47" s="399"/>
      <c r="P47" s="399"/>
      <c r="Q47" s="399"/>
      <c r="R47" s="402"/>
    </row>
    <row r="48" spans="1:18" ht="33" customHeight="1" hidden="1">
      <c r="A48" s="386"/>
      <c r="B48" s="413" t="s">
        <v>498</v>
      </c>
      <c r="C48" s="395" t="s">
        <v>497</v>
      </c>
      <c r="D48" s="396"/>
      <c r="E48" s="392"/>
      <c r="F48" s="399"/>
      <c r="G48" s="399"/>
      <c r="H48" s="399"/>
      <c r="I48" s="399"/>
      <c r="J48" s="399"/>
      <c r="K48" s="399"/>
      <c r="L48" s="399"/>
      <c r="M48" s="399"/>
      <c r="N48" s="399"/>
      <c r="O48" s="399"/>
      <c r="P48" s="399"/>
      <c r="Q48" s="399"/>
      <c r="R48" s="402"/>
    </row>
    <row r="49" spans="1:18" ht="45.75" customHeight="1" hidden="1">
      <c r="A49" s="386"/>
      <c r="B49" s="413" t="s">
        <v>499</v>
      </c>
      <c r="C49" s="395" t="s">
        <v>497</v>
      </c>
      <c r="D49" s="396"/>
      <c r="E49" s="392"/>
      <c r="F49" s="399"/>
      <c r="G49" s="399"/>
      <c r="H49" s="399"/>
      <c r="I49" s="399"/>
      <c r="J49" s="399"/>
      <c r="K49" s="399"/>
      <c r="L49" s="399"/>
      <c r="M49" s="399"/>
      <c r="N49" s="399"/>
      <c r="O49" s="399"/>
      <c r="P49" s="399"/>
      <c r="Q49" s="399"/>
      <c r="R49" s="402"/>
    </row>
    <row r="50" spans="1:18" ht="33" customHeight="1" hidden="1">
      <c r="A50" s="386"/>
      <c r="B50" s="413" t="s">
        <v>500</v>
      </c>
      <c r="C50" s="395" t="s">
        <v>501</v>
      </c>
      <c r="D50" s="396"/>
      <c r="E50" s="392"/>
      <c r="F50" s="399"/>
      <c r="G50" s="399"/>
      <c r="H50" s="399"/>
      <c r="I50" s="399"/>
      <c r="J50" s="399"/>
      <c r="K50" s="399"/>
      <c r="L50" s="399"/>
      <c r="M50" s="399"/>
      <c r="N50" s="399"/>
      <c r="O50" s="399"/>
      <c r="P50" s="399"/>
      <c r="Q50" s="399"/>
      <c r="R50" s="402"/>
    </row>
    <row r="51" spans="1:18" ht="33" customHeight="1" hidden="1">
      <c r="A51" s="386"/>
      <c r="B51" s="413" t="s">
        <v>502</v>
      </c>
      <c r="C51" s="395"/>
      <c r="D51" s="396"/>
      <c r="E51" s="392"/>
      <c r="F51" s="399"/>
      <c r="G51" s="399"/>
      <c r="H51" s="399"/>
      <c r="I51" s="399"/>
      <c r="J51" s="399"/>
      <c r="K51" s="399"/>
      <c r="L51" s="399"/>
      <c r="M51" s="399"/>
      <c r="N51" s="399"/>
      <c r="O51" s="399"/>
      <c r="P51" s="399"/>
      <c r="Q51" s="399"/>
      <c r="R51" s="402"/>
    </row>
    <row r="52" spans="1:18" ht="33" customHeight="1" hidden="1">
      <c r="A52" s="386"/>
      <c r="B52" s="413" t="s">
        <v>503</v>
      </c>
      <c r="C52" s="395"/>
      <c r="D52" s="396"/>
      <c r="E52" s="392"/>
      <c r="F52" s="399"/>
      <c r="G52" s="399"/>
      <c r="H52" s="399"/>
      <c r="I52" s="399"/>
      <c r="J52" s="399"/>
      <c r="K52" s="399"/>
      <c r="L52" s="399"/>
      <c r="M52" s="399"/>
      <c r="N52" s="399"/>
      <c r="O52" s="399"/>
      <c r="P52" s="399"/>
      <c r="Q52" s="399"/>
      <c r="R52" s="402"/>
    </row>
    <row r="53" spans="1:18" ht="33" customHeight="1">
      <c r="A53" s="383" t="s">
        <v>272</v>
      </c>
      <c r="B53" s="413" t="s">
        <v>504</v>
      </c>
      <c r="C53" s="395" t="s">
        <v>505</v>
      </c>
      <c r="D53" s="396">
        <v>13200</v>
      </c>
      <c r="E53" s="392">
        <v>13750</v>
      </c>
      <c r="F53" s="399"/>
      <c r="G53" s="399"/>
      <c r="H53" s="399"/>
      <c r="I53" s="399"/>
      <c r="J53" s="399"/>
      <c r="K53" s="399"/>
      <c r="L53" s="399"/>
      <c r="M53" s="399"/>
      <c r="N53" s="399"/>
      <c r="O53" s="399"/>
      <c r="P53" s="399"/>
      <c r="Q53" s="399"/>
      <c r="R53" s="402">
        <f>E53/D53*100</f>
        <v>104.16666666666667</v>
      </c>
    </row>
    <row r="54" spans="1:18" ht="33" customHeight="1">
      <c r="A54" s="386"/>
      <c r="B54" s="413" t="s">
        <v>506</v>
      </c>
      <c r="C54" s="395" t="s">
        <v>505</v>
      </c>
      <c r="D54" s="396">
        <v>50</v>
      </c>
      <c r="E54" s="392">
        <v>70</v>
      </c>
      <c r="F54" s="399"/>
      <c r="G54" s="399"/>
      <c r="H54" s="399"/>
      <c r="I54" s="399"/>
      <c r="J54" s="399"/>
      <c r="K54" s="399"/>
      <c r="L54" s="399"/>
      <c r="M54" s="399"/>
      <c r="N54" s="399"/>
      <c r="O54" s="399"/>
      <c r="P54" s="399"/>
      <c r="Q54" s="399"/>
      <c r="R54" s="397">
        <f>E54/D54*100</f>
        <v>140</v>
      </c>
    </row>
    <row r="55" spans="1:18" ht="24.75" customHeight="1">
      <c r="A55" s="386" t="s">
        <v>276</v>
      </c>
      <c r="B55" s="413" t="s">
        <v>507</v>
      </c>
      <c r="C55" s="395" t="s">
        <v>169</v>
      </c>
      <c r="D55" s="396"/>
      <c r="E55" s="392">
        <v>4</v>
      </c>
      <c r="F55" s="399"/>
      <c r="G55" s="399"/>
      <c r="H55" s="397">
        <v>2</v>
      </c>
      <c r="I55" s="399"/>
      <c r="J55" s="399"/>
      <c r="K55" s="399"/>
      <c r="L55" s="399"/>
      <c r="M55" s="397">
        <v>1</v>
      </c>
      <c r="N55" s="397"/>
      <c r="O55" s="397"/>
      <c r="P55" s="397"/>
      <c r="Q55" s="397">
        <v>1</v>
      </c>
      <c r="R55" s="402"/>
    </row>
    <row r="56" spans="1:18" ht="24.75" customHeight="1" hidden="1">
      <c r="A56" s="386"/>
      <c r="B56" s="413" t="s">
        <v>508</v>
      </c>
      <c r="C56" s="395" t="s">
        <v>169</v>
      </c>
      <c r="D56" s="396"/>
      <c r="E56" s="392"/>
      <c r="F56" s="399"/>
      <c r="G56" s="399"/>
      <c r="H56" s="399"/>
      <c r="I56" s="399"/>
      <c r="J56" s="399"/>
      <c r="K56" s="399"/>
      <c r="L56" s="399"/>
      <c r="M56" s="399"/>
      <c r="N56" s="399"/>
      <c r="O56" s="399"/>
      <c r="P56" s="399"/>
      <c r="Q56" s="399"/>
      <c r="R56" s="402"/>
    </row>
    <row r="57" spans="1:18" ht="24.75" customHeight="1">
      <c r="A57" s="393"/>
      <c r="B57" s="413" t="s">
        <v>388</v>
      </c>
      <c r="C57" s="395" t="s">
        <v>169</v>
      </c>
      <c r="D57" s="397">
        <v>2</v>
      </c>
      <c r="E57" s="407"/>
      <c r="F57" s="399"/>
      <c r="G57" s="399"/>
      <c r="H57" s="399"/>
      <c r="I57" s="399"/>
      <c r="J57" s="399"/>
      <c r="K57" s="399"/>
      <c r="L57" s="399"/>
      <c r="M57" s="399"/>
      <c r="N57" s="399"/>
      <c r="O57" s="399"/>
      <c r="P57" s="399"/>
      <c r="Q57" s="399"/>
      <c r="R57" s="402"/>
    </row>
    <row r="58" spans="1:18" s="135" customFormat="1" ht="24.75" customHeight="1">
      <c r="A58" s="418"/>
      <c r="B58" s="419" t="s">
        <v>389</v>
      </c>
      <c r="C58" s="420" t="s">
        <v>271</v>
      </c>
      <c r="D58" s="421"/>
      <c r="E58" s="422">
        <v>3</v>
      </c>
      <c r="F58" s="423"/>
      <c r="G58" s="423"/>
      <c r="H58" s="423"/>
      <c r="I58" s="423"/>
      <c r="J58" s="423"/>
      <c r="K58" s="423"/>
      <c r="L58" s="423"/>
      <c r="M58" s="423"/>
      <c r="N58" s="423"/>
      <c r="O58" s="423"/>
      <c r="P58" s="423"/>
      <c r="Q58" s="423"/>
      <c r="R58" s="427"/>
    </row>
    <row r="59" spans="1:18" ht="24.75" customHeight="1">
      <c r="A59" s="383" t="s">
        <v>3</v>
      </c>
      <c r="B59" s="384" t="s">
        <v>390</v>
      </c>
      <c r="C59" s="395"/>
      <c r="D59" s="396"/>
      <c r="E59" s="392"/>
      <c r="F59" s="399"/>
      <c r="G59" s="399"/>
      <c r="H59" s="399"/>
      <c r="I59" s="399"/>
      <c r="J59" s="399"/>
      <c r="K59" s="399"/>
      <c r="L59" s="399"/>
      <c r="M59" s="399"/>
      <c r="N59" s="399"/>
      <c r="O59" s="399"/>
      <c r="P59" s="399"/>
      <c r="Q59" s="399"/>
      <c r="R59" s="402"/>
    </row>
    <row r="60" spans="1:18" ht="24.75" customHeight="1">
      <c r="A60" s="386" t="s">
        <v>180</v>
      </c>
      <c r="B60" s="387" t="s">
        <v>170</v>
      </c>
      <c r="C60" s="424"/>
      <c r="D60" s="396"/>
      <c r="E60" s="392"/>
      <c r="F60" s="399"/>
      <c r="G60" s="399"/>
      <c r="H60" s="399"/>
      <c r="I60" s="399"/>
      <c r="J60" s="399"/>
      <c r="K60" s="399"/>
      <c r="L60" s="399"/>
      <c r="M60" s="399"/>
      <c r="N60" s="399"/>
      <c r="O60" s="399"/>
      <c r="P60" s="399"/>
      <c r="Q60" s="399"/>
      <c r="R60" s="402"/>
    </row>
    <row r="61" spans="1:18" ht="24.75" customHeight="1">
      <c r="A61" s="393" t="s">
        <v>272</v>
      </c>
      <c r="B61" s="394" t="s">
        <v>645</v>
      </c>
      <c r="C61" s="395" t="s">
        <v>150</v>
      </c>
      <c r="D61" s="396">
        <v>14428</v>
      </c>
      <c r="E61" s="392">
        <f>SUM(F61:Q61)</f>
        <v>16136.779</v>
      </c>
      <c r="F61" s="398">
        <f>' Bieu 3 LDVT'!F8*51.4%</f>
        <v>4527.312</v>
      </c>
      <c r="G61" s="398">
        <f>' Bieu 3 LDVT'!G8*25.7%</f>
        <v>1357.217</v>
      </c>
      <c r="H61" s="398">
        <f>' Bieu 3 LDVT'!H8*25%</f>
        <v>1770.5</v>
      </c>
      <c r="I61" s="398">
        <f>' Bieu 3 LDVT'!I8*25%</f>
        <v>994.25</v>
      </c>
      <c r="J61" s="398">
        <f>' Bieu 3 LDVT'!J8*25%</f>
        <v>1389.75</v>
      </c>
      <c r="K61" s="398">
        <f>' Bieu 3 LDVT'!K8*20%</f>
        <v>1313.4</v>
      </c>
      <c r="L61" s="398">
        <f>' Bieu 3 LDVT'!L8*20%</f>
        <v>687.2</v>
      </c>
      <c r="M61" s="398">
        <f>' Bieu 3 LDVT'!M8*25%</f>
        <v>937.5</v>
      </c>
      <c r="N61" s="398">
        <f>' Bieu 3 LDVT'!N8*25%</f>
        <v>648.5</v>
      </c>
      <c r="O61" s="398">
        <f>' Bieu 3 LDVT'!O8*25%</f>
        <v>1023.75</v>
      </c>
      <c r="P61" s="398">
        <f>' Bieu 3 LDVT'!P8*18%+28</f>
        <v>938.8</v>
      </c>
      <c r="Q61" s="398">
        <f>' Bieu 3 LDVT'!Q8*20%</f>
        <v>548.6</v>
      </c>
      <c r="R61" s="402">
        <f>E61/D61*100</f>
        <v>111.84349182145827</v>
      </c>
    </row>
    <row r="62" spans="1:18" ht="39.75" customHeight="1">
      <c r="A62" s="393"/>
      <c r="B62" s="394" t="s">
        <v>646</v>
      </c>
      <c r="C62" s="395" t="s">
        <v>13</v>
      </c>
      <c r="D62" s="406">
        <v>26.26</v>
      </c>
      <c r="E62" s="411">
        <f>E61/58952*100</f>
        <v>27.372742230967567</v>
      </c>
      <c r="F62" s="397">
        <f>F61/' Bieu 3 LDVT'!F8*100</f>
        <v>51.4</v>
      </c>
      <c r="G62" s="397">
        <f>G61/' Bieu 3 LDVT'!G8*100</f>
        <v>25.7</v>
      </c>
      <c r="H62" s="397">
        <f>H61/' Bieu 3 LDVT'!H8*100</f>
        <v>25</v>
      </c>
      <c r="I62" s="397">
        <f>I61/' Bieu 3 LDVT'!I8*100</f>
        <v>25</v>
      </c>
      <c r="J62" s="397">
        <f>J61/' Bieu 3 LDVT'!J8*100</f>
        <v>25</v>
      </c>
      <c r="K62" s="397">
        <f>K61/' Bieu 3 LDVT'!K8*100</f>
        <v>20</v>
      </c>
      <c r="L62" s="397">
        <f>L61/' Bieu 3 LDVT'!L8*100</f>
        <v>20</v>
      </c>
      <c r="M62" s="397">
        <f>M61/' Bieu 3 LDVT'!M8*100</f>
        <v>25</v>
      </c>
      <c r="N62" s="397">
        <f>N61/' Bieu 3 LDVT'!N8*100</f>
        <v>25</v>
      </c>
      <c r="O62" s="397">
        <f>O61/' Bieu 3 LDVT'!O8*100</f>
        <v>25</v>
      </c>
      <c r="P62" s="397">
        <f>P61/' Bieu 3 LDVT'!P8*100</f>
        <v>18.553359683794465</v>
      </c>
      <c r="Q62" s="397">
        <f>Q61/' Bieu 3 LDVT'!Q8*100</f>
        <v>20</v>
      </c>
      <c r="R62" s="402">
        <f>E62-D62</f>
        <v>1.1127422309675659</v>
      </c>
    </row>
    <row r="63" spans="1:18" ht="24.75" customHeight="1">
      <c r="A63" s="393" t="s">
        <v>276</v>
      </c>
      <c r="B63" s="394" t="s">
        <v>647</v>
      </c>
      <c r="C63" s="395" t="s">
        <v>273</v>
      </c>
      <c r="D63" s="396">
        <v>1630</v>
      </c>
      <c r="E63" s="392">
        <f>SUM(F63:Q63)</f>
        <v>1936.1299999999999</v>
      </c>
      <c r="F63" s="397">
        <f>' Bieu 3 LDVT'!F55*50%</f>
        <v>1047.5</v>
      </c>
      <c r="G63" s="397">
        <f>' Bieu 3 LDVT'!G55*16%+2</f>
        <v>164.4</v>
      </c>
      <c r="H63" s="397">
        <f>' Bieu 3 LDVT'!H55*7%</f>
        <v>99.05000000000001</v>
      </c>
      <c r="I63" s="397">
        <f>' Bieu 3 LDVT'!I55*7%</f>
        <v>55.09</v>
      </c>
      <c r="J63" s="397">
        <f>' Bieu 3 LDVT'!J55*7%</f>
        <v>73.08000000000001</v>
      </c>
      <c r="K63" s="397">
        <f>' Bieu 3 LDVT'!K55*7%</f>
        <v>87.78000000000002</v>
      </c>
      <c r="L63" s="397">
        <f>' Bieu 3 LDVT'!L55*9%</f>
        <v>56.61</v>
      </c>
      <c r="M63" s="397">
        <f>' Bieu 3 LDVT'!M55*7%</f>
        <v>52.43000000000001</v>
      </c>
      <c r="N63" s="397">
        <f>' Bieu 3 LDVT'!N55*15%</f>
        <v>71.39999999999999</v>
      </c>
      <c r="O63" s="397">
        <f>' Bieu 3 LDVT'!O55*15%</f>
        <v>105.3</v>
      </c>
      <c r="P63" s="397">
        <f>' Bieu 3 LDVT'!P55*10%</f>
        <v>87.30000000000001</v>
      </c>
      <c r="Q63" s="397">
        <f>' Bieu 3 LDVT'!Q55*7%</f>
        <v>36.190000000000005</v>
      </c>
      <c r="R63" s="402">
        <f>E63/D63*100</f>
        <v>118.78098159509203</v>
      </c>
    </row>
    <row r="64" spans="1:18" ht="36" customHeight="1">
      <c r="A64" s="393"/>
      <c r="B64" s="394" t="s">
        <v>648</v>
      </c>
      <c r="C64" s="395" t="s">
        <v>13</v>
      </c>
      <c r="D64" s="400">
        <v>14.26</v>
      </c>
      <c r="E64" s="411">
        <f>E63/11556*100</f>
        <v>16.754326756663204</v>
      </c>
      <c r="F64" s="397">
        <f>F63/' Bieu 3 LDVT'!F55*100</f>
        <v>50</v>
      </c>
      <c r="G64" s="397">
        <f>G63/' Bieu 3 LDVT'!G55*100</f>
        <v>16.19704433497537</v>
      </c>
      <c r="H64" s="397">
        <f>H63/' Bieu 3 LDVT'!H55*100</f>
        <v>7.000000000000001</v>
      </c>
      <c r="I64" s="397">
        <f>I63/' Bieu 3 LDVT'!I55*100</f>
        <v>7.000000000000001</v>
      </c>
      <c r="J64" s="397">
        <f>J63/' Bieu 3 LDVT'!J55*100</f>
        <v>7.000000000000001</v>
      </c>
      <c r="K64" s="397">
        <f>K63/' Bieu 3 LDVT'!K55*100</f>
        <v>7.000000000000001</v>
      </c>
      <c r="L64" s="397">
        <f>L63/' Bieu 3 LDVT'!L55*100</f>
        <v>9</v>
      </c>
      <c r="M64" s="397">
        <f>M63/' Bieu 3 LDVT'!M55*100</f>
        <v>7.000000000000001</v>
      </c>
      <c r="N64" s="397">
        <f>N63/' Bieu 3 LDVT'!N55*100</f>
        <v>15</v>
      </c>
      <c r="O64" s="397">
        <f>O63/' Bieu 3 LDVT'!O55*100</f>
        <v>15</v>
      </c>
      <c r="P64" s="397">
        <f>P63/' Bieu 3 LDVT'!P55*100</f>
        <v>10.000000000000002</v>
      </c>
      <c r="Q64" s="397">
        <f>Q63/' Bieu 3 LDVT'!Q55*100</f>
        <v>7.000000000000001</v>
      </c>
      <c r="R64" s="402">
        <f>E64-D64</f>
        <v>2.494326756663204</v>
      </c>
    </row>
    <row r="65" spans="1:18" ht="21" customHeight="1">
      <c r="A65" s="393" t="s">
        <v>268</v>
      </c>
      <c r="B65" s="394" t="s">
        <v>649</v>
      </c>
      <c r="C65" s="395" t="s">
        <v>171</v>
      </c>
      <c r="D65" s="396">
        <v>29</v>
      </c>
      <c r="E65" s="392">
        <f>SUM(F65:Q65)</f>
        <v>31</v>
      </c>
      <c r="F65" s="397">
        <v>20</v>
      </c>
      <c r="G65" s="397">
        <v>1</v>
      </c>
      <c r="H65" s="397">
        <v>1</v>
      </c>
      <c r="I65" s="397">
        <v>1</v>
      </c>
      <c r="J65" s="397">
        <v>1</v>
      </c>
      <c r="K65" s="397">
        <v>1</v>
      </c>
      <c r="L65" s="397">
        <v>1</v>
      </c>
      <c r="M65" s="397">
        <v>1</v>
      </c>
      <c r="N65" s="397">
        <v>1</v>
      </c>
      <c r="O65" s="397">
        <v>1</v>
      </c>
      <c r="P65" s="397">
        <v>1</v>
      </c>
      <c r="Q65" s="397">
        <v>1</v>
      </c>
      <c r="R65" s="399">
        <f>E65/D65*100</f>
        <v>106.89655172413792</v>
      </c>
    </row>
    <row r="66" spans="1:18" ht="24.75" customHeight="1">
      <c r="A66" s="386" t="s">
        <v>185</v>
      </c>
      <c r="B66" s="387" t="s">
        <v>172</v>
      </c>
      <c r="C66" s="395"/>
      <c r="D66" s="396"/>
      <c r="E66" s="392"/>
      <c r="F66" s="398"/>
      <c r="G66" s="398"/>
      <c r="H66" s="398"/>
      <c r="I66" s="398"/>
      <c r="J66" s="398"/>
      <c r="K66" s="398"/>
      <c r="L66" s="398"/>
      <c r="M66" s="398"/>
      <c r="N66" s="398"/>
      <c r="O66" s="398"/>
      <c r="P66" s="398"/>
      <c r="Q66" s="398"/>
      <c r="R66" s="428"/>
    </row>
    <row r="67" spans="1:18" ht="24.75" customHeight="1" hidden="1">
      <c r="A67" s="393"/>
      <c r="B67" s="413" t="s">
        <v>391</v>
      </c>
      <c r="C67" s="395" t="s">
        <v>173</v>
      </c>
      <c r="D67" s="396">
        <v>0</v>
      </c>
      <c r="E67" s="392"/>
      <c r="F67" s="399"/>
      <c r="G67" s="399"/>
      <c r="H67" s="399"/>
      <c r="I67" s="399"/>
      <c r="J67" s="399"/>
      <c r="K67" s="399"/>
      <c r="L67" s="399"/>
      <c r="M67" s="399"/>
      <c r="N67" s="399"/>
      <c r="O67" s="399"/>
      <c r="P67" s="399"/>
      <c r="Q67" s="399"/>
      <c r="R67" s="402"/>
    </row>
    <row r="68" spans="1:18" ht="24.75" customHeight="1" hidden="1">
      <c r="A68" s="393"/>
      <c r="B68" s="413" t="s">
        <v>392</v>
      </c>
      <c r="C68" s="395" t="s">
        <v>173</v>
      </c>
      <c r="D68" s="396">
        <v>0</v>
      </c>
      <c r="E68" s="392"/>
      <c r="F68" s="399"/>
      <c r="G68" s="399"/>
      <c r="H68" s="399"/>
      <c r="I68" s="399"/>
      <c r="J68" s="399"/>
      <c r="K68" s="399"/>
      <c r="L68" s="399"/>
      <c r="M68" s="399"/>
      <c r="N68" s="399"/>
      <c r="O68" s="399"/>
      <c r="P68" s="399"/>
      <c r="Q68" s="399"/>
      <c r="R68" s="402"/>
    </row>
    <row r="69" spans="1:18" ht="24.75" customHeight="1" hidden="1">
      <c r="A69" s="393"/>
      <c r="B69" s="413" t="s">
        <v>393</v>
      </c>
      <c r="C69" s="395" t="s">
        <v>174</v>
      </c>
      <c r="D69" s="396">
        <v>0</v>
      </c>
      <c r="E69" s="392">
        <v>0</v>
      </c>
      <c r="F69" s="399"/>
      <c r="G69" s="399"/>
      <c r="H69" s="399"/>
      <c r="I69" s="399"/>
      <c r="J69" s="399"/>
      <c r="K69" s="399"/>
      <c r="L69" s="399"/>
      <c r="M69" s="399"/>
      <c r="N69" s="399"/>
      <c r="O69" s="399"/>
      <c r="P69" s="399"/>
      <c r="Q69" s="399"/>
      <c r="R69" s="402"/>
    </row>
    <row r="70" spans="1:18" ht="24.75" customHeight="1">
      <c r="A70" s="393" t="s">
        <v>272</v>
      </c>
      <c r="B70" s="394" t="s">
        <v>650</v>
      </c>
      <c r="C70" s="395" t="s">
        <v>277</v>
      </c>
      <c r="D70" s="396">
        <v>5</v>
      </c>
      <c r="E70" s="392">
        <v>5</v>
      </c>
      <c r="F70" s="399"/>
      <c r="G70" s="399"/>
      <c r="H70" s="399"/>
      <c r="I70" s="399"/>
      <c r="J70" s="399"/>
      <c r="K70" s="399"/>
      <c r="L70" s="399"/>
      <c r="M70" s="399"/>
      <c r="N70" s="399"/>
      <c r="O70" s="399"/>
      <c r="P70" s="399"/>
      <c r="Q70" s="399"/>
      <c r="R70" s="397">
        <f>E70/D70*100</f>
        <v>100</v>
      </c>
    </row>
    <row r="71" spans="1:18" ht="24.75" customHeight="1">
      <c r="A71" s="393"/>
      <c r="B71" s="413" t="s">
        <v>651</v>
      </c>
      <c r="C71" s="395" t="s">
        <v>278</v>
      </c>
      <c r="D71" s="396">
        <v>5</v>
      </c>
      <c r="E71" s="392">
        <v>5</v>
      </c>
      <c r="F71" s="399"/>
      <c r="G71" s="399"/>
      <c r="H71" s="399"/>
      <c r="I71" s="399"/>
      <c r="J71" s="399"/>
      <c r="K71" s="399"/>
      <c r="L71" s="399"/>
      <c r="M71" s="399"/>
      <c r="N71" s="399"/>
      <c r="O71" s="399"/>
      <c r="P71" s="399"/>
      <c r="Q71" s="399"/>
      <c r="R71" s="397">
        <f>E71/D71*100</f>
        <v>100</v>
      </c>
    </row>
    <row r="72" spans="1:18" ht="24.75" customHeight="1">
      <c r="A72" s="393" t="s">
        <v>276</v>
      </c>
      <c r="B72" s="394" t="s">
        <v>652</v>
      </c>
      <c r="C72" s="395" t="s">
        <v>173</v>
      </c>
      <c r="D72" s="396">
        <v>2</v>
      </c>
      <c r="E72" s="392">
        <v>2</v>
      </c>
      <c r="F72" s="399"/>
      <c r="G72" s="399"/>
      <c r="H72" s="399"/>
      <c r="I72" s="399"/>
      <c r="J72" s="399"/>
      <c r="K72" s="399"/>
      <c r="L72" s="399"/>
      <c r="M72" s="399"/>
      <c r="N72" s="399"/>
      <c r="O72" s="399"/>
      <c r="P72" s="399"/>
      <c r="Q72" s="399"/>
      <c r="R72" s="397"/>
    </row>
    <row r="73" spans="1:18" ht="24.75" customHeight="1" hidden="1">
      <c r="A73" s="393"/>
      <c r="B73" s="425" t="s">
        <v>394</v>
      </c>
      <c r="C73" s="395" t="s">
        <v>173</v>
      </c>
      <c r="D73" s="396">
        <v>0</v>
      </c>
      <c r="E73" s="392"/>
      <c r="F73" s="399"/>
      <c r="G73" s="399"/>
      <c r="H73" s="399"/>
      <c r="I73" s="399"/>
      <c r="J73" s="399"/>
      <c r="K73" s="399"/>
      <c r="L73" s="399"/>
      <c r="M73" s="399"/>
      <c r="N73" s="399"/>
      <c r="O73" s="399"/>
      <c r="P73" s="399"/>
      <c r="Q73" s="399"/>
      <c r="R73" s="397"/>
    </row>
    <row r="74" spans="1:18" ht="24.75" customHeight="1">
      <c r="A74" s="393"/>
      <c r="B74" s="394" t="s">
        <v>395</v>
      </c>
      <c r="C74" s="395" t="s">
        <v>173</v>
      </c>
      <c r="D74" s="396">
        <v>2</v>
      </c>
      <c r="E74" s="396">
        <v>2</v>
      </c>
      <c r="F74" s="399"/>
      <c r="G74" s="399"/>
      <c r="H74" s="399"/>
      <c r="I74" s="399"/>
      <c r="J74" s="399"/>
      <c r="K74" s="399"/>
      <c r="L74" s="399"/>
      <c r="M74" s="399"/>
      <c r="N74" s="399"/>
      <c r="O74" s="399"/>
      <c r="P74" s="399"/>
      <c r="Q74" s="399"/>
      <c r="R74" s="397">
        <v>100</v>
      </c>
    </row>
    <row r="75" spans="1:6" s="92" customFormat="1" ht="17.25" customHeight="1" hidden="1">
      <c r="A75" s="107" t="s">
        <v>274</v>
      </c>
      <c r="B75" s="108" t="s">
        <v>279</v>
      </c>
      <c r="C75" s="109" t="s">
        <v>280</v>
      </c>
      <c r="D75" s="110"/>
      <c r="E75" s="110"/>
      <c r="F75" s="110"/>
    </row>
    <row r="76" spans="1:6" ht="17.25" customHeight="1" hidden="1">
      <c r="A76" s="99" t="s">
        <v>186</v>
      </c>
      <c r="B76" s="111" t="s">
        <v>281</v>
      </c>
      <c r="C76" s="97"/>
      <c r="D76" s="100"/>
      <c r="E76" s="100"/>
      <c r="F76" s="100"/>
    </row>
    <row r="77" spans="1:6" ht="17.25" customHeight="1" hidden="1">
      <c r="A77" s="95" t="s">
        <v>272</v>
      </c>
      <c r="B77" s="96" t="s">
        <v>282</v>
      </c>
      <c r="C77" s="97" t="s">
        <v>283</v>
      </c>
      <c r="D77" s="98">
        <v>360</v>
      </c>
      <c r="E77" s="98"/>
      <c r="F77" s="98"/>
    </row>
    <row r="78" spans="1:6" ht="15.75" hidden="1">
      <c r="A78" s="95" t="s">
        <v>276</v>
      </c>
      <c r="B78" s="96" t="s">
        <v>284</v>
      </c>
      <c r="C78" s="97" t="s">
        <v>167</v>
      </c>
      <c r="D78" s="98">
        <v>58</v>
      </c>
      <c r="E78" s="98"/>
      <c r="F78" s="98"/>
    </row>
    <row r="79" spans="1:6" ht="15.75" hidden="1">
      <c r="A79" s="95" t="s">
        <v>268</v>
      </c>
      <c r="B79" s="96" t="s">
        <v>285</v>
      </c>
      <c r="C79" s="97" t="s">
        <v>286</v>
      </c>
      <c r="D79" s="98">
        <v>300</v>
      </c>
      <c r="E79" s="98"/>
      <c r="F79" s="98"/>
    </row>
    <row r="80" spans="1:6" ht="16.5" customHeight="1" hidden="1">
      <c r="A80" s="95" t="s">
        <v>269</v>
      </c>
      <c r="B80" s="96" t="s">
        <v>287</v>
      </c>
      <c r="C80" s="97" t="s">
        <v>288</v>
      </c>
      <c r="D80" s="98">
        <v>2</v>
      </c>
      <c r="E80" s="98"/>
      <c r="F80" s="98"/>
    </row>
    <row r="81" spans="1:6" ht="16.5" customHeight="1" hidden="1">
      <c r="A81" s="95" t="s">
        <v>289</v>
      </c>
      <c r="B81" s="96" t="s">
        <v>290</v>
      </c>
      <c r="C81" s="97" t="s">
        <v>288</v>
      </c>
      <c r="D81" s="98">
        <v>2</v>
      </c>
      <c r="E81" s="98"/>
      <c r="F81" s="98"/>
    </row>
    <row r="82" spans="1:6" ht="31.5" customHeight="1" hidden="1">
      <c r="A82" s="95" t="s">
        <v>291</v>
      </c>
      <c r="B82" s="96" t="s">
        <v>292</v>
      </c>
      <c r="C82" s="97" t="s">
        <v>293</v>
      </c>
      <c r="D82" s="98">
        <v>8</v>
      </c>
      <c r="E82" s="98"/>
      <c r="F82" s="98"/>
    </row>
    <row r="83" spans="1:6" ht="18" customHeight="1" hidden="1">
      <c r="A83" s="95" t="s">
        <v>294</v>
      </c>
      <c r="B83" s="102" t="s">
        <v>295</v>
      </c>
      <c r="C83" s="101" t="s">
        <v>296</v>
      </c>
      <c r="D83" s="98">
        <v>0</v>
      </c>
      <c r="E83" s="98"/>
      <c r="F83" s="98"/>
    </row>
    <row r="84" spans="1:6" ht="18" customHeight="1" hidden="1">
      <c r="A84" s="95" t="s">
        <v>297</v>
      </c>
      <c r="B84" s="102" t="s">
        <v>298</v>
      </c>
      <c r="C84" s="101" t="s">
        <v>175</v>
      </c>
      <c r="D84" s="98">
        <v>0</v>
      </c>
      <c r="E84" s="98"/>
      <c r="F84" s="98"/>
    </row>
    <row r="85" spans="1:6" ht="15.75" hidden="1">
      <c r="A85" s="103" t="s">
        <v>299</v>
      </c>
      <c r="B85" s="104" t="s">
        <v>300</v>
      </c>
      <c r="C85" s="105" t="s">
        <v>167</v>
      </c>
      <c r="D85" s="106">
        <v>0</v>
      </c>
      <c r="E85" s="129"/>
      <c r="F85" s="129"/>
    </row>
    <row r="86" ht="15.75" hidden="1"/>
    <row r="87" ht="15.75" customHeight="1" hidden="1"/>
    <row r="88" ht="15.75" customHeight="1" hidden="1"/>
    <row r="89" s="92" customFormat="1" ht="15.75" customHeight="1"/>
    <row r="90" ht="15.75" customHeight="1"/>
    <row r="91" ht="15.75" customHeight="1"/>
    <row r="92" ht="15.75" customHeight="1"/>
    <row r="93" ht="15.75" customHeight="1"/>
    <row r="94" s="92" customFormat="1" ht="15.75" customHeight="1"/>
    <row r="95" ht="15.75" customHeight="1">
      <c r="A95" s="112"/>
    </row>
    <row r="96" ht="15.75" customHeight="1"/>
    <row r="97" ht="15.75" customHeight="1"/>
    <row r="98" s="92" customFormat="1" ht="15.75" customHeight="1"/>
    <row r="99" ht="15.75" customHeight="1"/>
    <row r="100" ht="30" customHeight="1">
      <c r="A100" s="112"/>
    </row>
    <row r="101" ht="15.75" customHeight="1">
      <c r="A101" s="112"/>
    </row>
    <row r="102" ht="15.75">
      <c r="A102" s="112"/>
    </row>
    <row r="103" ht="15.75">
      <c r="A103" s="112"/>
    </row>
    <row r="104" ht="15.75">
      <c r="A104" s="112"/>
    </row>
    <row r="105" ht="18" customHeight="1" hidden="1"/>
    <row r="106" ht="18" customHeight="1" hidden="1"/>
    <row r="107" ht="16.5" customHeight="1" hidden="1"/>
    <row r="108" ht="16.5" customHeight="1" hidden="1"/>
    <row r="109" ht="16.5" customHeight="1" hidden="1"/>
    <row r="110" ht="16.5" customHeight="1" hidden="1"/>
    <row r="111" ht="16.5" customHeight="1" hidden="1"/>
    <row r="112" ht="16.5" customHeight="1" hidden="1"/>
    <row r="113" ht="16.5" customHeight="1" hidden="1"/>
    <row r="114" s="92" customFormat="1" ht="18.75" customHeight="1"/>
    <row r="115" ht="33" customHeight="1" hidden="1"/>
    <row r="116" ht="34.5" customHeight="1" hidden="1"/>
    <row r="118" ht="49.5" customHeight="1"/>
    <row r="119" ht="31.5" customHeight="1"/>
    <row r="120" ht="19.5" customHeight="1"/>
    <row r="121" ht="15.75">
      <c r="A121" s="112"/>
    </row>
    <row r="122" ht="18" customHeight="1">
      <c r="A122" s="112"/>
    </row>
    <row r="123" ht="18" customHeight="1">
      <c r="A123" s="112"/>
    </row>
    <row r="124" ht="18" customHeight="1">
      <c r="A124" s="112"/>
    </row>
    <row r="125" ht="18" customHeight="1">
      <c r="A125" s="112"/>
    </row>
    <row r="126" ht="18" customHeight="1">
      <c r="A126" s="112"/>
    </row>
    <row r="127" ht="18" customHeight="1">
      <c r="A127" s="112"/>
    </row>
    <row r="128" ht="18" customHeight="1">
      <c r="A128" s="112"/>
    </row>
    <row r="129" ht="15.75">
      <c r="A129" s="112"/>
    </row>
    <row r="130" ht="18" customHeight="1">
      <c r="A130" s="112"/>
    </row>
    <row r="131" ht="18" customHeight="1">
      <c r="A131" s="112"/>
    </row>
  </sheetData>
  <sheetProtection/>
  <mergeCells count="11">
    <mergeCell ref="E6:E7"/>
    <mergeCell ref="R6:R7"/>
    <mergeCell ref="A2:R2"/>
    <mergeCell ref="A3:S3"/>
    <mergeCell ref="F6:Q6"/>
    <mergeCell ref="A1:F1"/>
    <mergeCell ref="A5:A7"/>
    <mergeCell ref="B5:B7"/>
    <mergeCell ref="C5:C7"/>
    <mergeCell ref="D5:D7"/>
    <mergeCell ref="E5:Q5"/>
  </mergeCells>
  <printOptions/>
  <pageMargins left="0.89" right="0.45" top="0.75" bottom="0.5" header="0.19" footer="0"/>
  <pageSetup horizontalDpi="600" verticalDpi="600" orientation="landscape" paperSize="9" scale="60" r:id="rId4"/>
  <rowBreaks count="1" manualBreakCount="1">
    <brk id="31" max="17" man="1"/>
  </rowBreaks>
  <drawing r:id="rId3"/>
  <legacyDrawing r:id="rId2"/>
</worksheet>
</file>

<file path=xl/worksheets/sheet7.xml><?xml version="1.0" encoding="utf-8"?>
<worksheet xmlns="http://schemas.openxmlformats.org/spreadsheetml/2006/main" xmlns:r="http://schemas.openxmlformats.org/officeDocument/2006/relationships">
  <dimension ref="A1:F128"/>
  <sheetViews>
    <sheetView zoomScale="115" zoomScaleNormal="115" zoomScalePageLayoutView="0" workbookViewId="0" topLeftCell="A1">
      <selection activeCell="B62" sqref="B62"/>
    </sheetView>
  </sheetViews>
  <sheetFormatPr defaultColWidth="9.140625" defaultRowHeight="12.75"/>
  <cols>
    <col min="1" max="1" width="5.00390625" style="66" customWidth="1"/>
    <col min="2" max="2" width="51.00390625" style="66" customWidth="1"/>
    <col min="3" max="3" width="11.7109375" style="489" customWidth="1"/>
    <col min="4" max="4" width="9.28125" style="66" customWidth="1"/>
    <col min="5" max="5" width="9.28125" style="490" customWidth="1"/>
    <col min="6" max="6" width="18.7109375" style="37" customWidth="1"/>
    <col min="7" max="16384" width="9.140625" style="66" customWidth="1"/>
  </cols>
  <sheetData>
    <row r="1" spans="1:6" ht="16.5">
      <c r="A1" s="38" t="s">
        <v>356</v>
      </c>
      <c r="B1" s="64"/>
      <c r="C1" s="65"/>
      <c r="D1" s="64"/>
      <c r="E1" s="64"/>
      <c r="F1" s="65"/>
    </row>
    <row r="2" spans="1:6" s="2" customFormat="1" ht="18.75" customHeight="1">
      <c r="A2" s="783" t="s">
        <v>610</v>
      </c>
      <c r="B2" s="783"/>
      <c r="C2" s="783"/>
      <c r="D2" s="783"/>
      <c r="E2" s="783"/>
      <c r="F2" s="783"/>
    </row>
    <row r="3" spans="1:6" s="1" customFormat="1" ht="19.5" customHeight="1">
      <c r="A3" s="784" t="s">
        <v>755</v>
      </c>
      <c r="B3" s="784"/>
      <c r="C3" s="784"/>
      <c r="D3" s="784"/>
      <c r="E3" s="784"/>
      <c r="F3" s="784"/>
    </row>
    <row r="4" spans="1:5" ht="12" customHeight="1">
      <c r="A4" s="67"/>
      <c r="B4" s="67"/>
      <c r="C4" s="37"/>
      <c r="D4" s="67"/>
      <c r="E4" s="67"/>
    </row>
    <row r="5" spans="1:6" s="205" customFormat="1" ht="27.75" customHeight="1">
      <c r="A5" s="785" t="s">
        <v>4</v>
      </c>
      <c r="B5" s="785" t="s">
        <v>52</v>
      </c>
      <c r="C5" s="785" t="s">
        <v>47</v>
      </c>
      <c r="D5" s="771" t="s">
        <v>601</v>
      </c>
      <c r="E5" s="767" t="s">
        <v>609</v>
      </c>
      <c r="F5" s="204" t="s">
        <v>1</v>
      </c>
    </row>
    <row r="6" spans="1:6" s="205" customFormat="1" ht="24.75" customHeight="1">
      <c r="A6" s="785"/>
      <c r="B6" s="785"/>
      <c r="C6" s="785"/>
      <c r="D6" s="771"/>
      <c r="E6" s="767"/>
      <c r="F6" s="772" t="s">
        <v>582</v>
      </c>
    </row>
    <row r="7" spans="1:6" s="205" customFormat="1" ht="24.75" customHeight="1">
      <c r="A7" s="785"/>
      <c r="B7" s="785"/>
      <c r="C7" s="785"/>
      <c r="D7" s="771"/>
      <c r="E7" s="767"/>
      <c r="F7" s="773"/>
    </row>
    <row r="8" spans="1:6" s="206" customFormat="1" ht="20.25" customHeight="1">
      <c r="A8" s="47" t="s">
        <v>189</v>
      </c>
      <c r="B8" s="429" t="s">
        <v>362</v>
      </c>
      <c r="C8" s="47"/>
      <c r="D8" s="430"/>
      <c r="E8" s="431"/>
      <c r="F8" s="431"/>
    </row>
    <row r="9" spans="1:6" s="206" customFormat="1" ht="20.25" customHeight="1">
      <c r="A9" s="47" t="s">
        <v>180</v>
      </c>
      <c r="B9" s="429" t="s">
        <v>363</v>
      </c>
      <c r="C9" s="47"/>
      <c r="D9" s="430"/>
      <c r="E9" s="432"/>
      <c r="F9" s="433"/>
    </row>
    <row r="10" spans="1:6" s="206" customFormat="1" ht="20.25" customHeight="1">
      <c r="A10" s="435">
        <v>1</v>
      </c>
      <c r="B10" s="434" t="s">
        <v>364</v>
      </c>
      <c r="C10" s="435" t="s">
        <v>145</v>
      </c>
      <c r="D10" s="229">
        <v>11</v>
      </c>
      <c r="E10" s="229">
        <v>11</v>
      </c>
      <c r="F10" s="229">
        <f>E10/D10*100</f>
        <v>100</v>
      </c>
    </row>
    <row r="11" spans="1:6" s="206" customFormat="1" ht="20.25" customHeight="1">
      <c r="A11" s="435">
        <v>2</v>
      </c>
      <c r="B11" s="434" t="s">
        <v>365</v>
      </c>
      <c r="C11" s="435" t="s">
        <v>13</v>
      </c>
      <c r="D11" s="230">
        <v>100</v>
      </c>
      <c r="E11" s="230">
        <v>100</v>
      </c>
      <c r="F11" s="436"/>
    </row>
    <row r="12" spans="1:6" s="206" customFormat="1" ht="20.25" customHeight="1">
      <c r="A12" s="435">
        <v>3</v>
      </c>
      <c r="B12" s="434" t="s">
        <v>366</v>
      </c>
      <c r="C12" s="435" t="s">
        <v>611</v>
      </c>
      <c r="D12" s="230">
        <f>57729/11</f>
        <v>5248.090909090909</v>
      </c>
      <c r="E12" s="230">
        <f>58952/E10</f>
        <v>5359.272727272727</v>
      </c>
      <c r="F12" s="483">
        <f>E12/D12*100</f>
        <v>102.11851928839923</v>
      </c>
    </row>
    <row r="13" spans="1:6" s="206" customFormat="1" ht="20.25" customHeight="1">
      <c r="A13" s="435">
        <v>4</v>
      </c>
      <c r="B13" s="434" t="s">
        <v>367</v>
      </c>
      <c r="C13" s="435" t="s">
        <v>368</v>
      </c>
      <c r="D13" s="231">
        <v>4.1</v>
      </c>
      <c r="E13" s="231">
        <v>4.3</v>
      </c>
      <c r="F13" s="483">
        <f>E13/D13*100</f>
        <v>104.8780487804878</v>
      </c>
    </row>
    <row r="14" spans="1:6" s="207" customFormat="1" ht="20.25" customHeight="1">
      <c r="A14" s="435">
        <v>5</v>
      </c>
      <c r="B14" s="434" t="s">
        <v>369</v>
      </c>
      <c r="C14" s="435" t="s">
        <v>370</v>
      </c>
      <c r="D14" s="230">
        <v>5300</v>
      </c>
      <c r="E14" s="230"/>
      <c r="F14" s="483"/>
    </row>
    <row r="15" spans="1:6" s="207" customFormat="1" ht="20.25" customHeight="1">
      <c r="A15" s="47" t="s">
        <v>185</v>
      </c>
      <c r="B15" s="429" t="s">
        <v>547</v>
      </c>
      <c r="C15" s="47"/>
      <c r="D15" s="232"/>
      <c r="E15" s="232"/>
      <c r="F15" s="483"/>
    </row>
    <row r="16" spans="1:6" s="207" customFormat="1" ht="20.25" customHeight="1">
      <c r="A16" s="47"/>
      <c r="B16" s="429" t="s">
        <v>557</v>
      </c>
      <c r="C16" s="47" t="str">
        <f>C17</f>
        <v>Thuê bao</v>
      </c>
      <c r="D16" s="233">
        <f>D17+D18</f>
        <v>33520</v>
      </c>
      <c r="E16" s="233">
        <f>E17+E18</f>
        <v>33834</v>
      </c>
      <c r="F16" s="484">
        <f aca="true" t="shared" si="0" ref="F16:F21">E16/D16*100</f>
        <v>100.93675417661099</v>
      </c>
    </row>
    <row r="17" spans="1:6" s="206" customFormat="1" ht="20.25" customHeight="1">
      <c r="A17" s="435">
        <v>1</v>
      </c>
      <c r="B17" s="434" t="s">
        <v>509</v>
      </c>
      <c r="C17" s="435" t="s">
        <v>371</v>
      </c>
      <c r="D17" s="230">
        <v>314</v>
      </c>
      <c r="E17" s="230">
        <v>314</v>
      </c>
      <c r="F17" s="485">
        <f t="shared" si="0"/>
        <v>100</v>
      </c>
    </row>
    <row r="18" spans="1:6" s="206" customFormat="1" ht="20.25" customHeight="1">
      <c r="A18" s="435">
        <v>2</v>
      </c>
      <c r="B18" s="434" t="s">
        <v>510</v>
      </c>
      <c r="C18" s="435" t="s">
        <v>371</v>
      </c>
      <c r="D18" s="230">
        <v>33206</v>
      </c>
      <c r="E18" s="230">
        <v>33520</v>
      </c>
      <c r="F18" s="483">
        <f t="shared" si="0"/>
        <v>100.94561223875202</v>
      </c>
    </row>
    <row r="19" spans="1:6" s="206" customFormat="1" ht="20.25" customHeight="1">
      <c r="A19" s="435">
        <v>3</v>
      </c>
      <c r="B19" s="434" t="s">
        <v>511</v>
      </c>
      <c r="C19" s="435" t="s">
        <v>372</v>
      </c>
      <c r="D19" s="230">
        <f>D18*100/57729</f>
        <v>57.52048363907222</v>
      </c>
      <c r="E19" s="231">
        <f>E18*100/58952</f>
        <v>56.859818157144794</v>
      </c>
      <c r="F19" s="484">
        <f t="shared" si="0"/>
        <v>98.85142571805733</v>
      </c>
    </row>
    <row r="20" spans="1:6" s="206" customFormat="1" ht="20.25" customHeight="1">
      <c r="A20" s="435">
        <v>4</v>
      </c>
      <c r="B20" s="434" t="s">
        <v>613</v>
      </c>
      <c r="C20" s="435" t="s">
        <v>138</v>
      </c>
      <c r="D20" s="230">
        <v>56</v>
      </c>
      <c r="E20" s="230">
        <v>63</v>
      </c>
      <c r="F20" s="483">
        <f t="shared" si="0"/>
        <v>112.5</v>
      </c>
    </row>
    <row r="21" spans="1:6" s="208" customFormat="1" ht="20.25" customHeight="1">
      <c r="A21" s="435">
        <v>5</v>
      </c>
      <c r="B21" s="434" t="s">
        <v>612</v>
      </c>
      <c r="C21" s="435" t="s">
        <v>138</v>
      </c>
      <c r="D21" s="230">
        <v>12</v>
      </c>
      <c r="E21" s="230">
        <v>12</v>
      </c>
      <c r="F21" s="485">
        <f t="shared" si="0"/>
        <v>100</v>
      </c>
    </row>
    <row r="22" spans="1:6" s="206" customFormat="1" ht="20.25" customHeight="1">
      <c r="A22" s="435">
        <v>6</v>
      </c>
      <c r="B22" s="434" t="s">
        <v>373</v>
      </c>
      <c r="C22" s="435" t="s">
        <v>370</v>
      </c>
      <c r="D22" s="230">
        <v>10356</v>
      </c>
      <c r="E22" s="230"/>
      <c r="F22" s="483"/>
    </row>
    <row r="23" spans="1:6" s="206" customFormat="1" ht="21" customHeight="1">
      <c r="A23" s="47" t="s">
        <v>186</v>
      </c>
      <c r="B23" s="429" t="s">
        <v>374</v>
      </c>
      <c r="C23" s="47"/>
      <c r="D23" s="230"/>
      <c r="E23" s="230"/>
      <c r="F23" s="483"/>
    </row>
    <row r="24" spans="1:6" s="206" customFormat="1" ht="21" customHeight="1">
      <c r="A24" s="435">
        <v>1</v>
      </c>
      <c r="B24" s="434" t="s">
        <v>558</v>
      </c>
      <c r="C24" s="435" t="s">
        <v>371</v>
      </c>
      <c r="D24" s="230">
        <v>1767</v>
      </c>
      <c r="E24" s="230">
        <v>1805</v>
      </c>
      <c r="F24" s="484">
        <f>E24/D24*100</f>
        <v>102.15053763440861</v>
      </c>
    </row>
    <row r="25" spans="1:6" s="209" customFormat="1" ht="21" customHeight="1">
      <c r="A25" s="435">
        <v>2</v>
      </c>
      <c r="B25" s="434" t="s">
        <v>375</v>
      </c>
      <c r="C25" s="435" t="s">
        <v>371</v>
      </c>
      <c r="D25" s="231">
        <f>D24*100/57729</f>
        <v>3.0608532973029154</v>
      </c>
      <c r="E25" s="231">
        <f>E24*100/58952</f>
        <v>3.0618130004071107</v>
      </c>
      <c r="F25" s="485">
        <f>E25/D25*100</f>
        <v>100.03135410328359</v>
      </c>
    </row>
    <row r="26" spans="1:6" s="206" customFormat="1" ht="21" customHeight="1">
      <c r="A26" s="435">
        <v>3</v>
      </c>
      <c r="B26" s="434" t="s">
        <v>614</v>
      </c>
      <c r="C26" s="435" t="s">
        <v>145</v>
      </c>
      <c r="D26" s="230">
        <v>12</v>
      </c>
      <c r="E26" s="230">
        <v>12</v>
      </c>
      <c r="F26" s="485">
        <f>E26/D26*100</f>
        <v>100</v>
      </c>
    </row>
    <row r="27" spans="1:6" s="206" customFormat="1" ht="21" customHeight="1">
      <c r="A27" s="435">
        <v>4</v>
      </c>
      <c r="B27" s="434" t="s">
        <v>615</v>
      </c>
      <c r="C27" s="435" t="s">
        <v>13</v>
      </c>
      <c r="D27" s="230">
        <v>100</v>
      </c>
      <c r="E27" s="230">
        <v>100</v>
      </c>
      <c r="F27" s="485"/>
    </row>
    <row r="28" spans="1:6" s="206" customFormat="1" ht="21" customHeight="1">
      <c r="A28" s="435">
        <v>5</v>
      </c>
      <c r="B28" s="434" t="s">
        <v>376</v>
      </c>
      <c r="C28" s="435" t="s">
        <v>370</v>
      </c>
      <c r="D28" s="230"/>
      <c r="E28" s="230"/>
      <c r="F28" s="483"/>
    </row>
    <row r="29" spans="1:6" s="208" customFormat="1" ht="21" customHeight="1">
      <c r="A29" s="47" t="s">
        <v>3</v>
      </c>
      <c r="B29" s="429" t="s">
        <v>549</v>
      </c>
      <c r="C29" s="47"/>
      <c r="D29" s="234"/>
      <c r="E29" s="234"/>
      <c r="F29" s="483"/>
    </row>
    <row r="30" spans="1:6" s="206" customFormat="1" ht="21" customHeight="1">
      <c r="A30" s="374" t="s">
        <v>180</v>
      </c>
      <c r="B30" s="437" t="s">
        <v>548</v>
      </c>
      <c r="C30" s="374"/>
      <c r="D30" s="234"/>
      <c r="E30" s="234"/>
      <c r="F30" s="483"/>
    </row>
    <row r="31" spans="1:6" s="206" customFormat="1" ht="21" customHeight="1">
      <c r="A31" s="713">
        <v>1</v>
      </c>
      <c r="B31" s="438" t="s">
        <v>512</v>
      </c>
      <c r="C31" s="230" t="s">
        <v>520</v>
      </c>
      <c r="D31" s="230">
        <v>13910</v>
      </c>
      <c r="E31" s="230">
        <f>D31</f>
        <v>13910</v>
      </c>
      <c r="F31" s="485">
        <f>E31/D31*100</f>
        <v>100</v>
      </c>
    </row>
    <row r="32" spans="1:6" s="206" customFormat="1" ht="21" customHeight="1">
      <c r="A32" s="713">
        <v>2</v>
      </c>
      <c r="B32" s="438" t="s">
        <v>513</v>
      </c>
      <c r="C32" s="230" t="s">
        <v>520</v>
      </c>
      <c r="D32" s="230">
        <v>16</v>
      </c>
      <c r="E32" s="230">
        <v>16</v>
      </c>
      <c r="F32" s="485">
        <f>E32/D32*100</f>
        <v>100</v>
      </c>
    </row>
    <row r="33" spans="1:6" s="206" customFormat="1" ht="21" customHeight="1">
      <c r="A33" s="713">
        <v>3</v>
      </c>
      <c r="B33" s="438" t="s">
        <v>514</v>
      </c>
      <c r="C33" s="230" t="s">
        <v>521</v>
      </c>
      <c r="D33" s="230">
        <v>7</v>
      </c>
      <c r="E33" s="230">
        <v>7</v>
      </c>
      <c r="F33" s="485">
        <f>E33/D33*100</f>
        <v>100</v>
      </c>
    </row>
    <row r="34" spans="1:6" s="206" customFormat="1" ht="21" customHeight="1">
      <c r="A34" s="713">
        <v>4</v>
      </c>
      <c r="B34" s="438" t="s">
        <v>522</v>
      </c>
      <c r="C34" s="230" t="s">
        <v>145</v>
      </c>
      <c r="D34" s="230">
        <v>5</v>
      </c>
      <c r="E34" s="230">
        <v>5</v>
      </c>
      <c r="F34" s="485">
        <f>E34/D34*100</f>
        <v>100</v>
      </c>
    </row>
    <row r="35" spans="1:6" s="206" customFormat="1" ht="21" customHeight="1">
      <c r="A35" s="713"/>
      <c r="B35" s="438" t="s">
        <v>523</v>
      </c>
      <c r="C35" s="230" t="s">
        <v>13</v>
      </c>
      <c r="D35" s="231">
        <f>D34/12*100</f>
        <v>41.66666666666667</v>
      </c>
      <c r="E35" s="231">
        <f>E34/12*100</f>
        <v>41.66666666666667</v>
      </c>
      <c r="F35" s="485"/>
    </row>
    <row r="36" spans="1:6" s="206" customFormat="1" ht="21" customHeight="1">
      <c r="A36" s="713">
        <v>5</v>
      </c>
      <c r="B36" s="438" t="s">
        <v>515</v>
      </c>
      <c r="C36" s="230" t="s">
        <v>176</v>
      </c>
      <c r="D36" s="230">
        <v>11403</v>
      </c>
      <c r="E36" s="230">
        <v>11556</v>
      </c>
      <c r="F36" s="484">
        <f>E36/D36*100</f>
        <v>101.34175217048144</v>
      </c>
    </row>
    <row r="37" spans="1:6" s="206" customFormat="1" ht="21" customHeight="1">
      <c r="A37" s="713"/>
      <c r="B37" s="438" t="s">
        <v>516</v>
      </c>
      <c r="C37" s="230" t="s">
        <v>13</v>
      </c>
      <c r="D37" s="230">
        <v>100</v>
      </c>
      <c r="E37" s="230">
        <v>100</v>
      </c>
      <c r="F37" s="485"/>
    </row>
    <row r="38" spans="1:6" s="206" customFormat="1" ht="21" customHeight="1">
      <c r="A38" s="713">
        <v>6</v>
      </c>
      <c r="B38" s="438" t="s">
        <v>524</v>
      </c>
      <c r="C38" s="230" t="s">
        <v>145</v>
      </c>
      <c r="D38" s="230">
        <v>12</v>
      </c>
      <c r="E38" s="230">
        <v>12</v>
      </c>
      <c r="F38" s="485">
        <f>E38/D38*100</f>
        <v>100</v>
      </c>
    </row>
    <row r="39" spans="1:6" s="206" customFormat="1" ht="21" customHeight="1">
      <c r="A39" s="713"/>
      <c r="B39" s="438" t="s">
        <v>517</v>
      </c>
      <c r="C39" s="230" t="s">
        <v>13</v>
      </c>
      <c r="D39" s="230">
        <v>100</v>
      </c>
      <c r="E39" s="230">
        <f>E38/12*100</f>
        <v>100</v>
      </c>
      <c r="F39" s="485"/>
    </row>
    <row r="40" spans="1:6" s="206" customFormat="1" ht="21" customHeight="1">
      <c r="A40" s="713">
        <v>7</v>
      </c>
      <c r="B40" s="438" t="s">
        <v>518</v>
      </c>
      <c r="C40" s="230" t="s">
        <v>176</v>
      </c>
      <c r="D40" s="230">
        <v>11403</v>
      </c>
      <c r="E40" s="230">
        <v>11556</v>
      </c>
      <c r="F40" s="484">
        <f>E40/D40*100</f>
        <v>101.34175217048144</v>
      </c>
    </row>
    <row r="41" spans="1:6" s="206" customFormat="1" ht="21" customHeight="1">
      <c r="A41" s="713"/>
      <c r="B41" s="438" t="s">
        <v>519</v>
      </c>
      <c r="C41" s="230" t="s">
        <v>13</v>
      </c>
      <c r="D41" s="230">
        <v>100</v>
      </c>
      <c r="E41" s="230">
        <v>100</v>
      </c>
      <c r="F41" s="485"/>
    </row>
    <row r="42" spans="1:6" s="486" customFormat="1" ht="21" customHeight="1">
      <c r="A42" s="374" t="s">
        <v>185</v>
      </c>
      <c r="B42" s="437" t="s">
        <v>546</v>
      </c>
      <c r="C42" s="374"/>
      <c r="D42" s="234"/>
      <c r="E42" s="234"/>
      <c r="F42" s="483"/>
    </row>
    <row r="43" spans="1:6" s="486" customFormat="1" ht="21" customHeight="1">
      <c r="A43" s="713">
        <v>1</v>
      </c>
      <c r="B43" s="712" t="s">
        <v>525</v>
      </c>
      <c r="C43" s="440" t="s">
        <v>520</v>
      </c>
      <c r="D43" s="230">
        <v>41724</v>
      </c>
      <c r="E43" s="230">
        <f>D43</f>
        <v>41724</v>
      </c>
      <c r="F43" s="485">
        <f>E43/D43*100</f>
        <v>100</v>
      </c>
    </row>
    <row r="44" spans="1:6" s="486" customFormat="1" ht="21" customHeight="1">
      <c r="A44" s="713">
        <v>2</v>
      </c>
      <c r="B44" s="712" t="s">
        <v>526</v>
      </c>
      <c r="C44" s="440" t="s">
        <v>176</v>
      </c>
      <c r="D44" s="230">
        <v>11403</v>
      </c>
      <c r="E44" s="230">
        <f>E36</f>
        <v>11556</v>
      </c>
      <c r="F44" s="484">
        <f>E44/D44*100</f>
        <v>101.34175217048144</v>
      </c>
    </row>
    <row r="45" spans="1:6" s="486" customFormat="1" ht="21" customHeight="1">
      <c r="A45" s="713"/>
      <c r="B45" s="712" t="s">
        <v>527</v>
      </c>
      <c r="C45" s="440" t="s">
        <v>13</v>
      </c>
      <c r="D45" s="230">
        <v>100</v>
      </c>
      <c r="E45" s="230">
        <v>100</v>
      </c>
      <c r="F45" s="483"/>
    </row>
    <row r="46" spans="1:6" s="486" customFormat="1" ht="21" customHeight="1">
      <c r="A46" s="713">
        <v>3</v>
      </c>
      <c r="B46" s="712" t="s">
        <v>528</v>
      </c>
      <c r="C46" s="440" t="s">
        <v>145</v>
      </c>
      <c r="D46" s="230">
        <v>12</v>
      </c>
      <c r="E46" s="230">
        <v>12</v>
      </c>
      <c r="F46" s="485">
        <f>E46/D46*100</f>
        <v>100</v>
      </c>
    </row>
    <row r="47" spans="1:6" s="486" customFormat="1" ht="21" customHeight="1">
      <c r="A47" s="713"/>
      <c r="B47" s="712" t="s">
        <v>529</v>
      </c>
      <c r="C47" s="440" t="s">
        <v>13</v>
      </c>
      <c r="D47" s="230">
        <v>100</v>
      </c>
      <c r="E47" s="230">
        <v>100</v>
      </c>
      <c r="F47" s="483"/>
    </row>
    <row r="48" spans="1:6" s="486" customFormat="1" ht="21" customHeight="1">
      <c r="A48" s="713">
        <v>4</v>
      </c>
      <c r="B48" s="712" t="s">
        <v>530</v>
      </c>
      <c r="C48" s="440" t="s">
        <v>176</v>
      </c>
      <c r="D48" s="230">
        <v>11403</v>
      </c>
      <c r="E48" s="230">
        <f>E44</f>
        <v>11556</v>
      </c>
      <c r="F48" s="484">
        <f>E48/D48*100</f>
        <v>101.34175217048144</v>
      </c>
    </row>
    <row r="49" spans="1:6" s="486" customFormat="1" ht="21" customHeight="1">
      <c r="A49" s="713"/>
      <c r="B49" s="712" t="s">
        <v>531</v>
      </c>
      <c r="C49" s="440" t="s">
        <v>13</v>
      </c>
      <c r="D49" s="230">
        <v>100</v>
      </c>
      <c r="E49" s="230">
        <v>100</v>
      </c>
      <c r="F49" s="483"/>
    </row>
    <row r="50" spans="1:6" s="717" customFormat="1" ht="21" customHeight="1">
      <c r="A50" s="374" t="s">
        <v>186</v>
      </c>
      <c r="B50" s="714" t="s">
        <v>532</v>
      </c>
      <c r="C50" s="715"/>
      <c r="D50" s="234"/>
      <c r="E50" s="234"/>
      <c r="F50" s="716"/>
    </row>
    <row r="51" spans="1:6" s="486" customFormat="1" ht="28.5" customHeight="1">
      <c r="A51" s="713">
        <v>1</v>
      </c>
      <c r="B51" s="712" t="s">
        <v>744</v>
      </c>
      <c r="C51" s="440"/>
      <c r="D51" s="230">
        <v>397</v>
      </c>
      <c r="E51" s="230">
        <v>397</v>
      </c>
      <c r="F51" s="485">
        <v>100</v>
      </c>
    </row>
    <row r="52" spans="1:6" s="486" customFormat="1" ht="21" customHeight="1">
      <c r="A52" s="713"/>
      <c r="B52" s="712" t="s">
        <v>533</v>
      </c>
      <c r="C52" s="782" t="s">
        <v>534</v>
      </c>
      <c r="D52" s="235">
        <v>5</v>
      </c>
      <c r="E52" s="235">
        <v>5</v>
      </c>
      <c r="F52" s="485">
        <f>E52/D52*100</f>
        <v>100</v>
      </c>
    </row>
    <row r="53" spans="1:6" s="486" customFormat="1" ht="21" customHeight="1">
      <c r="A53" s="713"/>
      <c r="B53" s="712" t="s">
        <v>535</v>
      </c>
      <c r="C53" s="782"/>
      <c r="D53" s="235">
        <v>392</v>
      </c>
      <c r="E53" s="235">
        <v>392</v>
      </c>
      <c r="F53" s="485">
        <f>E53/D53*100</f>
        <v>100</v>
      </c>
    </row>
    <row r="54" spans="1:6" s="486" customFormat="1" ht="27" customHeight="1">
      <c r="A54" s="713">
        <v>2</v>
      </c>
      <c r="B54" s="712" t="s">
        <v>536</v>
      </c>
      <c r="C54" s="440"/>
      <c r="D54" s="235"/>
      <c r="E54" s="235"/>
      <c r="F54" s="483"/>
    </row>
    <row r="55" spans="1:6" s="486" customFormat="1" ht="21" customHeight="1">
      <c r="A55" s="713"/>
      <c r="B55" s="712" t="s">
        <v>537</v>
      </c>
      <c r="C55" s="782" t="s">
        <v>13</v>
      </c>
      <c r="D55" s="236">
        <v>100</v>
      </c>
      <c r="E55" s="236">
        <v>100</v>
      </c>
      <c r="F55" s="485"/>
    </row>
    <row r="56" spans="1:6" s="486" customFormat="1" ht="21" customHeight="1">
      <c r="A56" s="713"/>
      <c r="B56" s="712" t="s">
        <v>538</v>
      </c>
      <c r="C56" s="782"/>
      <c r="D56" s="235">
        <v>79</v>
      </c>
      <c r="E56" s="235">
        <v>79</v>
      </c>
      <c r="F56" s="485"/>
    </row>
    <row r="57" spans="1:6" s="486" customFormat="1" ht="21" customHeight="1">
      <c r="A57" s="713">
        <v>3</v>
      </c>
      <c r="B57" s="712" t="s">
        <v>539</v>
      </c>
      <c r="C57" s="440"/>
      <c r="D57" s="235"/>
      <c r="E57" s="235"/>
      <c r="F57" s="485"/>
    </row>
    <row r="58" spans="1:6" s="486" customFormat="1" ht="21" customHeight="1">
      <c r="A58" s="713"/>
      <c r="B58" s="712" t="s">
        <v>537</v>
      </c>
      <c r="C58" s="782" t="s">
        <v>13</v>
      </c>
      <c r="D58" s="235">
        <v>100</v>
      </c>
      <c r="E58" s="235">
        <v>100</v>
      </c>
      <c r="F58" s="485"/>
    </row>
    <row r="59" spans="1:6" s="486" customFormat="1" ht="21" customHeight="1">
      <c r="A59" s="713"/>
      <c r="B59" s="712" t="s">
        <v>538</v>
      </c>
      <c r="C59" s="782"/>
      <c r="D59" s="235">
        <v>50</v>
      </c>
      <c r="E59" s="235">
        <v>50</v>
      </c>
      <c r="F59" s="485">
        <f>E59/D59*100</f>
        <v>100</v>
      </c>
    </row>
    <row r="60" spans="1:6" s="486" customFormat="1" ht="27" customHeight="1">
      <c r="A60" s="713">
        <v>4</v>
      </c>
      <c r="B60" s="712" t="s">
        <v>540</v>
      </c>
      <c r="C60" s="440" t="s">
        <v>13</v>
      </c>
      <c r="D60" s="230">
        <v>100</v>
      </c>
      <c r="E60" s="230">
        <v>100</v>
      </c>
      <c r="F60" s="485"/>
    </row>
    <row r="61" spans="1:6" s="486" customFormat="1" ht="27" customHeight="1">
      <c r="A61" s="713">
        <v>5</v>
      </c>
      <c r="B61" s="712" t="s">
        <v>541</v>
      </c>
      <c r="C61" s="440"/>
      <c r="D61" s="235"/>
      <c r="E61" s="235"/>
      <c r="F61" s="483"/>
    </row>
    <row r="62" spans="1:6" s="486" customFormat="1" ht="21" customHeight="1">
      <c r="A62" s="713"/>
      <c r="B62" s="712" t="s">
        <v>537</v>
      </c>
      <c r="C62" s="782" t="s">
        <v>13</v>
      </c>
      <c r="D62" s="235">
        <v>100</v>
      </c>
      <c r="E62" s="235">
        <v>100</v>
      </c>
      <c r="F62" s="485"/>
    </row>
    <row r="63" spans="1:6" s="486" customFormat="1" ht="21" customHeight="1">
      <c r="A63" s="713"/>
      <c r="B63" s="712" t="s">
        <v>538</v>
      </c>
      <c r="C63" s="782"/>
      <c r="D63" s="235">
        <v>70</v>
      </c>
      <c r="E63" s="235">
        <v>75</v>
      </c>
      <c r="F63" s="485">
        <f>E63/D63*100</f>
        <v>107.14285714285714</v>
      </c>
    </row>
    <row r="64" spans="1:6" s="486" customFormat="1" ht="26.25" customHeight="1" hidden="1">
      <c r="A64" s="439"/>
      <c r="B64" s="712" t="s">
        <v>542</v>
      </c>
      <c r="C64" s="440" t="s">
        <v>619</v>
      </c>
      <c r="D64" s="230"/>
      <c r="E64" s="230"/>
      <c r="F64" s="483"/>
    </row>
    <row r="65" spans="1:6" s="486" customFormat="1" ht="21" customHeight="1" hidden="1">
      <c r="A65" s="439"/>
      <c r="B65" s="712" t="s">
        <v>543</v>
      </c>
      <c r="C65" s="440" t="s">
        <v>13</v>
      </c>
      <c r="D65" s="230"/>
      <c r="E65" s="230"/>
      <c r="F65" s="441"/>
    </row>
    <row r="66" spans="3:6" s="487" customFormat="1" ht="12.75">
      <c r="C66" s="488"/>
      <c r="F66" s="488"/>
    </row>
    <row r="67" spans="3:6" s="487" customFormat="1" ht="12.75">
      <c r="C67" s="488"/>
      <c r="F67" s="488"/>
    </row>
    <row r="68" spans="3:6" s="487" customFormat="1" ht="12.75">
      <c r="C68" s="488"/>
      <c r="F68" s="488"/>
    </row>
    <row r="69" spans="3:6" s="487" customFormat="1" ht="12.75">
      <c r="C69" s="488"/>
      <c r="F69" s="488"/>
    </row>
    <row r="70" spans="3:6" s="487" customFormat="1" ht="12.75">
      <c r="C70" s="488"/>
      <c r="F70" s="488"/>
    </row>
    <row r="71" spans="3:6" s="487" customFormat="1" ht="12.75">
      <c r="C71" s="488"/>
      <c r="F71" s="488"/>
    </row>
    <row r="72" spans="3:6" s="487" customFormat="1" ht="12.75">
      <c r="C72" s="488"/>
      <c r="F72" s="488"/>
    </row>
    <row r="73" spans="3:6" s="487" customFormat="1" ht="12.75">
      <c r="C73" s="488"/>
      <c r="F73" s="488"/>
    </row>
    <row r="74" spans="3:6" s="487" customFormat="1" ht="12.75">
      <c r="C74" s="488"/>
      <c r="F74" s="488"/>
    </row>
    <row r="75" spans="3:6" s="487" customFormat="1" ht="12.75">
      <c r="C75" s="488"/>
      <c r="F75" s="488"/>
    </row>
    <row r="76" spans="3:6" s="487" customFormat="1" ht="12.75">
      <c r="C76" s="488"/>
      <c r="F76" s="488"/>
    </row>
    <row r="77" spans="3:6" s="487" customFormat="1" ht="12.75">
      <c r="C77" s="488"/>
      <c r="F77" s="488"/>
    </row>
    <row r="78" spans="3:6" s="487" customFormat="1" ht="12.75">
      <c r="C78" s="488"/>
      <c r="F78" s="488"/>
    </row>
    <row r="79" spans="3:6" s="487" customFormat="1" ht="12.75">
      <c r="C79" s="488"/>
      <c r="F79" s="488"/>
    </row>
    <row r="80" spans="3:6" s="487" customFormat="1" ht="12.75">
      <c r="C80" s="488"/>
      <c r="F80" s="488"/>
    </row>
    <row r="81" spans="3:6" s="487" customFormat="1" ht="12.75">
      <c r="C81" s="488"/>
      <c r="F81" s="488"/>
    </row>
    <row r="82" spans="3:6" s="487" customFormat="1" ht="12.75">
      <c r="C82" s="488"/>
      <c r="F82" s="488"/>
    </row>
    <row r="83" spans="3:6" s="487" customFormat="1" ht="12.75">
      <c r="C83" s="488"/>
      <c r="F83" s="488"/>
    </row>
    <row r="84" spans="3:6" s="487" customFormat="1" ht="12.75">
      <c r="C84" s="488"/>
      <c r="F84" s="488"/>
    </row>
    <row r="85" spans="3:6" s="487" customFormat="1" ht="12.75">
      <c r="C85" s="488"/>
      <c r="F85" s="488"/>
    </row>
    <row r="86" spans="3:6" s="487" customFormat="1" ht="12.75">
      <c r="C86" s="488"/>
      <c r="F86" s="488"/>
    </row>
    <row r="87" spans="3:6" s="487" customFormat="1" ht="12.75">
      <c r="C87" s="488"/>
      <c r="F87" s="488"/>
    </row>
    <row r="88" spans="3:6" s="487" customFormat="1" ht="12.75">
      <c r="C88" s="488"/>
      <c r="F88" s="488"/>
    </row>
    <row r="89" spans="3:6" s="487" customFormat="1" ht="12.75">
      <c r="C89" s="488"/>
      <c r="F89" s="488"/>
    </row>
    <row r="90" spans="3:6" s="487" customFormat="1" ht="12.75">
      <c r="C90" s="488"/>
      <c r="F90" s="488"/>
    </row>
    <row r="91" spans="3:6" s="487" customFormat="1" ht="12.75">
      <c r="C91" s="488"/>
      <c r="F91" s="488"/>
    </row>
    <row r="92" spans="3:6" s="487" customFormat="1" ht="12.75">
      <c r="C92" s="488"/>
      <c r="F92" s="488"/>
    </row>
    <row r="93" spans="3:6" s="487" customFormat="1" ht="12.75">
      <c r="C93" s="488"/>
      <c r="F93" s="488"/>
    </row>
    <row r="94" spans="3:6" s="487" customFormat="1" ht="12.75">
      <c r="C94" s="488"/>
      <c r="F94" s="488"/>
    </row>
    <row r="95" spans="3:6" s="487" customFormat="1" ht="12.75">
      <c r="C95" s="488"/>
      <c r="F95" s="488"/>
    </row>
    <row r="96" spans="3:6" s="487" customFormat="1" ht="12.75">
      <c r="C96" s="488"/>
      <c r="F96" s="488"/>
    </row>
    <row r="97" spans="3:6" s="487" customFormat="1" ht="12.75">
      <c r="C97" s="488"/>
      <c r="F97" s="488"/>
    </row>
    <row r="98" spans="3:6" s="487" customFormat="1" ht="12.75">
      <c r="C98" s="488"/>
      <c r="F98" s="488"/>
    </row>
    <row r="99" spans="3:6" s="487" customFormat="1" ht="12.75">
      <c r="C99" s="488"/>
      <c r="F99" s="488"/>
    </row>
    <row r="100" spans="3:6" s="487" customFormat="1" ht="12.75">
      <c r="C100" s="488"/>
      <c r="F100" s="488"/>
    </row>
    <row r="101" spans="3:6" s="487" customFormat="1" ht="12.75">
      <c r="C101" s="488"/>
      <c r="F101" s="488"/>
    </row>
    <row r="102" spans="3:6" s="487" customFormat="1" ht="12.75">
      <c r="C102" s="488"/>
      <c r="F102" s="488"/>
    </row>
    <row r="103" spans="3:6" s="487" customFormat="1" ht="12.75">
      <c r="C103" s="488"/>
      <c r="F103" s="488"/>
    </row>
    <row r="104" spans="3:6" s="487" customFormat="1" ht="12.75">
      <c r="C104" s="488"/>
      <c r="F104" s="488"/>
    </row>
    <row r="105" spans="3:6" s="487" customFormat="1" ht="12.75">
      <c r="C105" s="488"/>
      <c r="F105" s="488"/>
    </row>
    <row r="106" spans="3:6" s="487" customFormat="1" ht="12.75">
      <c r="C106" s="488"/>
      <c r="F106" s="488"/>
    </row>
    <row r="107" spans="3:6" s="487" customFormat="1" ht="12.75">
      <c r="C107" s="488"/>
      <c r="F107" s="488"/>
    </row>
    <row r="108" spans="3:6" s="487" customFormat="1" ht="12.75">
      <c r="C108" s="488"/>
      <c r="F108" s="488"/>
    </row>
    <row r="109" spans="3:6" s="487" customFormat="1" ht="12.75">
      <c r="C109" s="488"/>
      <c r="F109" s="488"/>
    </row>
    <row r="110" spans="3:6" s="487" customFormat="1" ht="12.75">
      <c r="C110" s="488"/>
      <c r="F110" s="488"/>
    </row>
    <row r="111" spans="3:6" s="487" customFormat="1" ht="12.75">
      <c r="C111" s="488"/>
      <c r="F111" s="488"/>
    </row>
    <row r="112" spans="3:6" s="487" customFormat="1" ht="12.75">
      <c r="C112" s="488"/>
      <c r="F112" s="488"/>
    </row>
    <row r="113" spans="3:6" s="487" customFormat="1" ht="12.75">
      <c r="C113" s="488"/>
      <c r="F113" s="488"/>
    </row>
    <row r="114" spans="3:6" s="487" customFormat="1" ht="12.75">
      <c r="C114" s="488"/>
      <c r="F114" s="488"/>
    </row>
    <row r="115" spans="3:6" s="487" customFormat="1" ht="12.75">
      <c r="C115" s="488"/>
      <c r="F115" s="488"/>
    </row>
    <row r="116" spans="3:6" s="487" customFormat="1" ht="12.75">
      <c r="C116" s="488"/>
      <c r="F116" s="488"/>
    </row>
    <row r="117" spans="3:6" s="487" customFormat="1" ht="12.75">
      <c r="C117" s="488"/>
      <c r="F117" s="488"/>
    </row>
    <row r="118" spans="3:6" s="487" customFormat="1" ht="12.75">
      <c r="C118" s="488"/>
      <c r="F118" s="488"/>
    </row>
    <row r="119" spans="3:6" s="487" customFormat="1" ht="12.75">
      <c r="C119" s="488"/>
      <c r="F119" s="488"/>
    </row>
    <row r="120" spans="3:6" s="487" customFormat="1" ht="12.75">
      <c r="C120" s="488"/>
      <c r="F120" s="488"/>
    </row>
    <row r="121" spans="3:6" s="487" customFormat="1" ht="12.75">
      <c r="C121" s="488"/>
      <c r="F121" s="488"/>
    </row>
    <row r="122" spans="3:6" s="487" customFormat="1" ht="12.75">
      <c r="C122" s="488"/>
      <c r="F122" s="488"/>
    </row>
    <row r="123" spans="3:6" s="487" customFormat="1" ht="12.75">
      <c r="C123" s="488"/>
      <c r="F123" s="488"/>
    </row>
    <row r="124" spans="3:6" s="487" customFormat="1" ht="12.75">
      <c r="C124" s="488"/>
      <c r="F124" s="488"/>
    </row>
    <row r="125" spans="3:6" s="487" customFormat="1" ht="12.75">
      <c r="C125" s="488"/>
      <c r="F125" s="488"/>
    </row>
    <row r="126" spans="3:6" s="487" customFormat="1" ht="12.75">
      <c r="C126" s="488"/>
      <c r="F126" s="488"/>
    </row>
    <row r="127" spans="3:6" s="487" customFormat="1" ht="12.75">
      <c r="C127" s="488"/>
      <c r="F127" s="488"/>
    </row>
    <row r="128" spans="3:6" s="487" customFormat="1" ht="12.75">
      <c r="C128" s="488"/>
      <c r="F128" s="488"/>
    </row>
  </sheetData>
  <sheetProtection/>
  <mergeCells count="12">
    <mergeCell ref="D5:D7"/>
    <mergeCell ref="E5:E7"/>
    <mergeCell ref="C62:C63"/>
    <mergeCell ref="C52:C53"/>
    <mergeCell ref="C55:C56"/>
    <mergeCell ref="C58:C59"/>
    <mergeCell ref="F6:F7"/>
    <mergeCell ref="A2:F2"/>
    <mergeCell ref="A3:F3"/>
    <mergeCell ref="A5:A7"/>
    <mergeCell ref="B5:B7"/>
    <mergeCell ref="C5:C7"/>
  </mergeCells>
  <printOptions/>
  <pageMargins left="0.5" right="0.5" top="0.5" bottom="0.5" header="0"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F8" sqref="F8"/>
    </sheetView>
  </sheetViews>
  <sheetFormatPr defaultColWidth="9.140625" defaultRowHeight="12.75"/>
  <cols>
    <col min="2" max="2" width="42.00390625" style="0" customWidth="1"/>
    <col min="3" max="3" width="11.57421875" style="0" customWidth="1"/>
    <col min="4" max="4" width="11.140625" style="0" customWidth="1"/>
    <col min="5" max="5" width="10.28125" style="0" customWidth="1"/>
    <col min="6" max="6" width="15.421875" style="0" customWidth="1"/>
    <col min="7" max="7" width="8.421875" style="0" customWidth="1"/>
  </cols>
  <sheetData>
    <row r="1" spans="1:7" ht="19.5">
      <c r="A1" s="113" t="s">
        <v>357</v>
      </c>
      <c r="B1" s="114"/>
      <c r="C1" s="114"/>
      <c r="D1" s="114"/>
      <c r="E1" s="114"/>
      <c r="F1" s="114"/>
      <c r="G1" s="115"/>
    </row>
    <row r="2" spans="1:7" ht="15.75">
      <c r="A2" s="786" t="s">
        <v>616</v>
      </c>
      <c r="B2" s="786"/>
      <c r="C2" s="786"/>
      <c r="D2" s="786"/>
      <c r="E2" s="786"/>
      <c r="F2" s="786"/>
      <c r="G2" s="786"/>
    </row>
    <row r="3" spans="1:7" ht="18.75">
      <c r="A3" s="787" t="s">
        <v>755</v>
      </c>
      <c r="B3" s="787"/>
      <c r="C3" s="787"/>
      <c r="D3" s="787"/>
      <c r="E3" s="787"/>
      <c r="F3" s="787"/>
      <c r="G3" s="787"/>
    </row>
    <row r="4" spans="1:7" ht="12.75">
      <c r="A4" s="116"/>
      <c r="B4" s="116"/>
      <c r="C4" s="116"/>
      <c r="D4" s="116"/>
      <c r="E4" s="116"/>
      <c r="F4" s="116"/>
      <c r="G4" s="116"/>
    </row>
    <row r="5" spans="1:7" ht="24" customHeight="1">
      <c r="A5" s="738" t="s">
        <v>4</v>
      </c>
      <c r="B5" s="738" t="s">
        <v>52</v>
      </c>
      <c r="C5" s="738" t="s">
        <v>168</v>
      </c>
      <c r="D5" s="738" t="s">
        <v>678</v>
      </c>
      <c r="E5" s="738" t="s">
        <v>581</v>
      </c>
      <c r="F5" s="204" t="s">
        <v>1</v>
      </c>
      <c r="G5" s="738" t="s">
        <v>51</v>
      </c>
    </row>
    <row r="6" spans="1:7" ht="21" customHeight="1">
      <c r="A6" s="738"/>
      <c r="B6" s="738"/>
      <c r="C6" s="738"/>
      <c r="D6" s="738"/>
      <c r="E6" s="738"/>
      <c r="F6" s="772" t="s">
        <v>582</v>
      </c>
      <c r="G6" s="738"/>
    </row>
    <row r="7" spans="1:7" ht="52.5" customHeight="1">
      <c r="A7" s="738"/>
      <c r="B7" s="738"/>
      <c r="C7" s="738"/>
      <c r="D7" s="738"/>
      <c r="E7" s="738"/>
      <c r="F7" s="773"/>
      <c r="G7" s="738"/>
    </row>
    <row r="8" spans="1:7" ht="27.75" customHeight="1">
      <c r="A8" s="442" t="s">
        <v>189</v>
      </c>
      <c r="B8" s="443" t="s">
        <v>308</v>
      </c>
      <c r="C8" s="444"/>
      <c r="D8" s="445"/>
      <c r="E8" s="445"/>
      <c r="F8" s="445"/>
      <c r="G8" s="445"/>
    </row>
    <row r="9" spans="1:7" ht="35.25" customHeight="1">
      <c r="A9" s="444">
        <v>1</v>
      </c>
      <c r="B9" s="446" t="s">
        <v>753</v>
      </c>
      <c r="C9" s="444" t="s">
        <v>617</v>
      </c>
      <c r="D9" s="444">
        <v>7</v>
      </c>
      <c r="E9" s="444">
        <v>7</v>
      </c>
      <c r="F9" s="447">
        <f>E9/D9*100</f>
        <v>100</v>
      </c>
      <c r="G9" s="447"/>
    </row>
    <row r="10" spans="1:7" ht="27.75" customHeight="1">
      <c r="A10" s="444"/>
      <c r="B10" s="448" t="s">
        <v>309</v>
      </c>
      <c r="C10" s="444" t="s">
        <v>617</v>
      </c>
      <c r="D10" s="444">
        <v>7</v>
      </c>
      <c r="E10" s="444">
        <v>7</v>
      </c>
      <c r="F10" s="447">
        <f aca="true" t="shared" si="0" ref="F10:F30">E10/D10*100</f>
        <v>100</v>
      </c>
      <c r="G10" s="447"/>
    </row>
    <row r="11" spans="1:7" ht="27.75" customHeight="1">
      <c r="A11" s="444">
        <v>2</v>
      </c>
      <c r="B11" s="446" t="s">
        <v>754</v>
      </c>
      <c r="C11" s="444" t="s">
        <v>617</v>
      </c>
      <c r="D11" s="444">
        <v>31</v>
      </c>
      <c r="E11" s="444">
        <v>31</v>
      </c>
      <c r="F11" s="447">
        <f t="shared" si="0"/>
        <v>100</v>
      </c>
      <c r="G11" s="447"/>
    </row>
    <row r="12" spans="1:7" ht="27.75" customHeight="1">
      <c r="A12" s="444"/>
      <c r="B12" s="448" t="s">
        <v>309</v>
      </c>
      <c r="C12" s="444" t="s">
        <v>617</v>
      </c>
      <c r="D12" s="444">
        <v>31</v>
      </c>
      <c r="E12" s="444">
        <v>31</v>
      </c>
      <c r="F12" s="447">
        <f t="shared" si="0"/>
        <v>100</v>
      </c>
      <c r="G12" s="447"/>
    </row>
    <row r="13" spans="1:7" ht="27.75" customHeight="1">
      <c r="A13" s="442" t="s">
        <v>3</v>
      </c>
      <c r="B13" s="443" t="s">
        <v>310</v>
      </c>
      <c r="C13" s="442"/>
      <c r="D13" s="449"/>
      <c r="E13" s="449"/>
      <c r="F13" s="447"/>
      <c r="G13" s="449"/>
    </row>
    <row r="14" spans="1:7" ht="27.75" customHeight="1">
      <c r="A14" s="444">
        <v>1</v>
      </c>
      <c r="B14" s="446" t="s">
        <v>745</v>
      </c>
      <c r="C14" s="444" t="s">
        <v>618</v>
      </c>
      <c r="D14" s="444">
        <v>7</v>
      </c>
      <c r="E14" s="444">
        <v>8</v>
      </c>
      <c r="F14" s="457">
        <f t="shared" si="0"/>
        <v>114.28571428571428</v>
      </c>
      <c r="G14" s="447"/>
    </row>
    <row r="15" spans="1:7" ht="27.75" customHeight="1">
      <c r="A15" s="444"/>
      <c r="B15" s="450" t="s">
        <v>752</v>
      </c>
      <c r="C15" s="444" t="s">
        <v>618</v>
      </c>
      <c r="D15" s="444">
        <v>2</v>
      </c>
      <c r="E15" s="444">
        <v>1</v>
      </c>
      <c r="F15" s="447">
        <f t="shared" si="0"/>
        <v>50</v>
      </c>
      <c r="G15" s="447"/>
    </row>
    <row r="16" spans="1:7" ht="27.75" customHeight="1">
      <c r="A16" s="444">
        <v>2</v>
      </c>
      <c r="B16" s="446" t="s">
        <v>746</v>
      </c>
      <c r="C16" s="451" t="s">
        <v>150</v>
      </c>
      <c r="D16" s="444">
        <v>64</v>
      </c>
      <c r="E16" s="444">
        <v>71</v>
      </c>
      <c r="F16" s="457">
        <f t="shared" si="0"/>
        <v>110.9375</v>
      </c>
      <c r="G16" s="445"/>
    </row>
    <row r="17" spans="1:7" ht="27.75" customHeight="1">
      <c r="A17" s="444"/>
      <c r="B17" s="450" t="s">
        <v>311</v>
      </c>
      <c r="C17" s="444" t="s">
        <v>150</v>
      </c>
      <c r="D17" s="444">
        <v>29</v>
      </c>
      <c r="E17" s="444">
        <v>7</v>
      </c>
      <c r="F17" s="457">
        <f t="shared" si="0"/>
        <v>24.137931034482758</v>
      </c>
      <c r="G17" s="445"/>
    </row>
    <row r="18" spans="1:7" ht="27.75" customHeight="1" hidden="1">
      <c r="A18" s="444"/>
      <c r="B18" s="446" t="s">
        <v>312</v>
      </c>
      <c r="C18" s="452" t="s">
        <v>313</v>
      </c>
      <c r="D18" s="444">
        <v>408</v>
      </c>
      <c r="E18" s="444">
        <v>415</v>
      </c>
      <c r="F18" s="457">
        <f t="shared" si="0"/>
        <v>101.71568627450979</v>
      </c>
      <c r="G18" s="445"/>
    </row>
    <row r="19" spans="1:7" ht="27.75" customHeight="1" hidden="1">
      <c r="A19" s="444"/>
      <c r="B19" s="450" t="s">
        <v>314</v>
      </c>
      <c r="C19" s="452" t="s">
        <v>313</v>
      </c>
      <c r="D19" s="444">
        <v>32</v>
      </c>
      <c r="E19" s="444">
        <v>35</v>
      </c>
      <c r="F19" s="457">
        <f t="shared" si="0"/>
        <v>109.375</v>
      </c>
      <c r="G19" s="445"/>
    </row>
    <row r="20" spans="1:7" ht="27.75" customHeight="1" hidden="1">
      <c r="A20" s="444"/>
      <c r="B20" s="446" t="s">
        <v>315</v>
      </c>
      <c r="C20" s="452" t="s">
        <v>313</v>
      </c>
      <c r="D20" s="444">
        <v>326</v>
      </c>
      <c r="E20" s="444">
        <v>350</v>
      </c>
      <c r="F20" s="457">
        <f t="shared" si="0"/>
        <v>107.36196319018406</v>
      </c>
      <c r="G20" s="445"/>
    </row>
    <row r="21" spans="1:7" ht="27.75" customHeight="1">
      <c r="A21" s="444">
        <v>3</v>
      </c>
      <c r="B21" s="446" t="s">
        <v>747</v>
      </c>
      <c r="C21" s="451" t="s">
        <v>150</v>
      </c>
      <c r="D21" s="444">
        <f>D14*3</f>
        <v>21</v>
      </c>
      <c r="E21" s="444">
        <v>24</v>
      </c>
      <c r="F21" s="457">
        <f t="shared" si="0"/>
        <v>114.28571428571428</v>
      </c>
      <c r="G21" s="445"/>
    </row>
    <row r="22" spans="1:7" ht="27.75" customHeight="1">
      <c r="A22" s="444"/>
      <c r="B22" s="448" t="s">
        <v>316</v>
      </c>
      <c r="C22" s="444" t="s">
        <v>150</v>
      </c>
      <c r="D22" s="444">
        <v>13</v>
      </c>
      <c r="E22" s="444">
        <v>16</v>
      </c>
      <c r="F22" s="457">
        <f t="shared" si="0"/>
        <v>123.07692307692308</v>
      </c>
      <c r="G22" s="445"/>
    </row>
    <row r="23" spans="1:7" ht="27.75" customHeight="1">
      <c r="A23" s="444"/>
      <c r="B23" s="453" t="s">
        <v>317</v>
      </c>
      <c r="C23" s="451" t="s">
        <v>150</v>
      </c>
      <c r="D23" s="444"/>
      <c r="E23" s="444">
        <v>2</v>
      </c>
      <c r="F23" s="447"/>
      <c r="G23" s="445"/>
    </row>
    <row r="24" spans="1:7" ht="27.75" customHeight="1">
      <c r="A24" s="444">
        <v>4</v>
      </c>
      <c r="B24" s="446" t="s">
        <v>748</v>
      </c>
      <c r="C24" s="451" t="s">
        <v>150</v>
      </c>
      <c r="D24" s="444">
        <v>64</v>
      </c>
      <c r="E24" s="444">
        <v>71</v>
      </c>
      <c r="F24" s="457">
        <f t="shared" si="0"/>
        <v>110.9375</v>
      </c>
      <c r="G24" s="445"/>
    </row>
    <row r="25" spans="1:7" ht="31.5" customHeight="1">
      <c r="A25" s="444"/>
      <c r="B25" s="450" t="s">
        <v>751</v>
      </c>
      <c r="C25" s="444" t="s">
        <v>150</v>
      </c>
      <c r="D25" s="444">
        <v>64</v>
      </c>
      <c r="E25" s="444">
        <v>71</v>
      </c>
      <c r="F25" s="457">
        <f t="shared" si="0"/>
        <v>110.9375</v>
      </c>
      <c r="G25" s="445"/>
    </row>
    <row r="26" spans="1:7" ht="27.75" customHeight="1" hidden="1">
      <c r="A26" s="444"/>
      <c r="B26" s="446" t="s">
        <v>318</v>
      </c>
      <c r="C26" s="444" t="s">
        <v>313</v>
      </c>
      <c r="D26" s="444">
        <v>27</v>
      </c>
      <c r="E26" s="444">
        <v>32</v>
      </c>
      <c r="F26" s="447">
        <f t="shared" si="0"/>
        <v>118.5185185185185</v>
      </c>
      <c r="G26" s="445"/>
    </row>
    <row r="27" spans="1:7" ht="27.75" customHeight="1">
      <c r="A27" s="442" t="s">
        <v>190</v>
      </c>
      <c r="B27" s="443" t="s">
        <v>319</v>
      </c>
      <c r="C27" s="442"/>
      <c r="D27" s="449"/>
      <c r="E27" s="442"/>
      <c r="F27" s="447"/>
      <c r="G27" s="449"/>
    </row>
    <row r="28" spans="1:7" ht="27.75" customHeight="1">
      <c r="A28" s="444">
        <v>1</v>
      </c>
      <c r="B28" s="446" t="s">
        <v>750</v>
      </c>
      <c r="C28" s="444" t="s">
        <v>176</v>
      </c>
      <c r="D28" s="454">
        <v>878</v>
      </c>
      <c r="E28" s="444">
        <f>D28+50</f>
        <v>928</v>
      </c>
      <c r="F28" s="457">
        <f t="shared" si="0"/>
        <v>105.69476082004556</v>
      </c>
      <c r="G28" s="445"/>
    </row>
    <row r="29" spans="1:7" ht="27.75" customHeight="1">
      <c r="A29" s="444"/>
      <c r="B29" s="450" t="s">
        <v>320</v>
      </c>
      <c r="C29" s="444" t="s">
        <v>176</v>
      </c>
      <c r="D29" s="454">
        <v>68</v>
      </c>
      <c r="E29" s="444">
        <v>50</v>
      </c>
      <c r="F29" s="457">
        <f t="shared" si="0"/>
        <v>73.52941176470588</v>
      </c>
      <c r="G29" s="447"/>
    </row>
    <row r="30" spans="1:7" ht="27.75" customHeight="1">
      <c r="A30" s="444">
        <v>2</v>
      </c>
      <c r="B30" s="446" t="s">
        <v>749</v>
      </c>
      <c r="C30" s="444" t="s">
        <v>313</v>
      </c>
      <c r="D30" s="455">
        <v>45045</v>
      </c>
      <c r="E30" s="456">
        <v>47960</v>
      </c>
      <c r="F30" s="457">
        <f t="shared" si="0"/>
        <v>106.47130647130648</v>
      </c>
      <c r="G30" s="445"/>
    </row>
  </sheetData>
  <sheetProtection/>
  <mergeCells count="9">
    <mergeCell ref="E5:E7"/>
    <mergeCell ref="A2:G2"/>
    <mergeCell ref="A3:G3"/>
    <mergeCell ref="A5:A7"/>
    <mergeCell ref="B5:B7"/>
    <mergeCell ref="C5:C7"/>
    <mergeCell ref="D5:D7"/>
    <mergeCell ref="G5:G7"/>
    <mergeCell ref="F6:F7"/>
  </mergeCells>
  <printOptions/>
  <pageMargins left="0.5" right="0.2" top="0.55" bottom="0.6" header="0.5" footer="0.5"/>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NguyenHoa</dc:creator>
  <cp:keywords/>
  <dc:description/>
  <cp:lastModifiedBy>VNN.R9</cp:lastModifiedBy>
  <cp:lastPrinted>2020-01-06T00:36:45Z</cp:lastPrinted>
  <dcterms:created xsi:type="dcterms:W3CDTF">1996-10-14T23:33:28Z</dcterms:created>
  <dcterms:modified xsi:type="dcterms:W3CDTF">2020-01-06T07:37:35Z</dcterms:modified>
  <cp:category/>
  <cp:version/>
  <cp:contentType/>
  <cp:contentStatus/>
</cp:coreProperties>
</file>